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rex9d\Desktop\"/>
    </mc:Choice>
  </mc:AlternateContent>
  <xr:revisionPtr revIDLastSave="0" documentId="13_ncr:1_{3631AC34-EB57-473F-9B8C-51253E790D3B}" xr6:coauthVersionLast="45" xr6:coauthVersionMax="47" xr10:uidLastSave="{00000000-0000-0000-0000-000000000000}"/>
  <bookViews>
    <workbookView xWindow="-120" yWindow="-120" windowWidth="29040" windowHeight="176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 l="1"/>
  <c r="F35" i="1" l="1"/>
  <c r="F43" i="1" l="1"/>
  <c r="F18" i="1"/>
  <c r="F17" i="1"/>
  <c r="F16" i="1"/>
  <c r="G39" i="1"/>
  <c r="G38" i="1"/>
  <c r="F37" i="1"/>
  <c r="H36" i="1"/>
  <c r="H35" i="1"/>
  <c r="H34" i="1"/>
  <c r="H33" i="1"/>
  <c r="H31" i="1"/>
  <c r="H30" i="1"/>
  <c r="G30" i="1"/>
  <c r="E27" i="1"/>
  <c r="H28" i="1"/>
  <c r="H27" i="1"/>
  <c r="H16" i="1"/>
  <c r="H6" i="1"/>
  <c r="F42" i="1"/>
  <c r="G60" i="1" l="1"/>
  <c r="G91" i="1" l="1"/>
  <c r="G90" i="1"/>
  <c r="G89" i="1"/>
  <c r="G88" i="1"/>
  <c r="G86" i="1"/>
  <c r="G85" i="1"/>
  <c r="G69" i="1"/>
  <c r="G68" i="1"/>
  <c r="G67" i="1"/>
  <c r="G66" i="1"/>
  <c r="G65" i="1"/>
  <c r="G64" i="1"/>
  <c r="G63" i="1"/>
  <c r="I62" i="1"/>
  <c r="I61" i="1"/>
  <c r="I60" i="1"/>
  <c r="H62" i="1"/>
  <c r="H61" i="1"/>
  <c r="H60" i="1"/>
  <c r="G62" i="1"/>
  <c r="G61" i="1"/>
  <c r="I84" i="1"/>
  <c r="I83" i="1"/>
  <c r="I82" i="1"/>
  <c r="H84" i="1"/>
  <c r="H83" i="1"/>
  <c r="H82" i="1"/>
  <c r="G84" i="1"/>
  <c r="G83" i="1"/>
  <c r="G82" i="1"/>
  <c r="G94" i="1"/>
  <c r="G93" i="1"/>
  <c r="H94" i="1"/>
  <c r="H93" i="1"/>
  <c r="I94" i="1"/>
  <c r="I93" i="1"/>
  <c r="I92" i="1"/>
  <c r="H92" i="1"/>
  <c r="G92" i="1"/>
  <c r="F30" i="1"/>
  <c r="D43" i="1" l="1"/>
  <c r="G34" i="1"/>
  <c r="E28" i="1"/>
  <c r="E90" i="1" s="1"/>
  <c r="E29" i="1"/>
  <c r="E52" i="1"/>
  <c r="E65" i="1" s="1"/>
  <c r="E107" i="1" s="1"/>
  <c r="E53" i="1"/>
  <c r="E66" i="1" s="1"/>
  <c r="E108" i="1" s="1"/>
  <c r="E54" i="1"/>
  <c r="E67" i="1" s="1"/>
  <c r="E109" i="1" s="1"/>
  <c r="E55" i="1"/>
  <c r="E68" i="1" s="1"/>
  <c r="E110" i="1" s="1"/>
  <c r="E60" i="1"/>
  <c r="E61" i="1"/>
  <c r="E62" i="1"/>
  <c r="E63" i="1"/>
  <c r="E64" i="1"/>
  <c r="E94" i="1"/>
  <c r="E96" i="1"/>
  <c r="E98" i="1"/>
  <c r="E100" i="1"/>
  <c r="Q15" i="1"/>
  <c r="Q14" i="1"/>
  <c r="Q13" i="1"/>
  <c r="Q12" i="1"/>
  <c r="Q11" i="1"/>
  <c r="Q10" i="1"/>
  <c r="Q9" i="1"/>
  <c r="Q8" i="1"/>
  <c r="Q7" i="1"/>
  <c r="Q6" i="1"/>
  <c r="Q5" i="1"/>
  <c r="Q4" i="1"/>
  <c r="Q3" i="1"/>
  <c r="E92" i="1" l="1"/>
  <c r="E56" i="1"/>
  <c r="E111" i="1"/>
  <c r="E69" i="1"/>
  <c r="E51" i="1"/>
  <c r="E50" i="1"/>
  <c r="F83" i="1"/>
  <c r="G87" i="1"/>
  <c r="F84" i="1"/>
  <c r="D55" i="1"/>
  <c r="D68" i="1" s="1"/>
  <c r="D110" i="1" s="1"/>
  <c r="F44" i="1"/>
  <c r="G48" i="1" s="1"/>
  <c r="D42" i="1"/>
  <c r="F40" i="1"/>
  <c r="D40" i="1" s="1"/>
  <c r="D60" i="1" s="1"/>
  <c r="F39" i="1"/>
  <c r="D39" i="1" s="1"/>
  <c r="F38" i="1"/>
  <c r="D38" i="1" s="1"/>
  <c r="D37" i="1"/>
  <c r="F34" i="1"/>
  <c r="D34" i="1" s="1"/>
  <c r="G33" i="1"/>
  <c r="F33" i="1" s="1"/>
  <c r="D33" i="1" s="1"/>
  <c r="D30" i="1"/>
  <c r="F29" i="1"/>
  <c r="D29" i="1" s="1"/>
  <c r="E74" i="1" s="1"/>
  <c r="E86" i="1" s="1"/>
  <c r="F92" i="1"/>
  <c r="H19" i="1"/>
  <c r="G19" i="1" s="1"/>
  <c r="F36" i="1"/>
  <c r="D36" i="1" s="1"/>
  <c r="H20" i="1"/>
  <c r="G20" i="1" s="1"/>
  <c r="F82" i="1" l="1"/>
  <c r="F53" i="1" s="1"/>
  <c r="D53" i="1" s="1"/>
  <c r="D66" i="1" s="1"/>
  <c r="D108" i="1" s="1"/>
  <c r="E77" i="1"/>
  <c r="E78" i="1" s="1"/>
  <c r="E79" i="1" s="1"/>
  <c r="E71" i="1"/>
  <c r="H17" i="1"/>
  <c r="H29" i="1"/>
  <c r="D100" i="1"/>
  <c r="F41" i="1"/>
  <c r="D44" i="1"/>
  <c r="D64" i="1" s="1"/>
  <c r="F19" i="1"/>
  <c r="F20" i="1" s="1"/>
  <c r="G31" i="1" s="1"/>
  <c r="F31" i="1" s="1"/>
  <c r="D31" i="1" s="1"/>
  <c r="D63" i="1" s="1"/>
  <c r="F93" i="1"/>
  <c r="F61" i="1"/>
  <c r="F94" i="1"/>
  <c r="F60" i="1"/>
  <c r="F62" i="1"/>
  <c r="F52" i="1" l="1"/>
  <c r="F54" i="1"/>
  <c r="D54" i="1" s="1"/>
  <c r="D67" i="1" s="1"/>
  <c r="D109" i="1" s="1"/>
  <c r="F27" i="1"/>
  <c r="D27" i="1" s="1"/>
  <c r="D35" i="1" s="1"/>
  <c r="D61" i="1" s="1"/>
  <c r="D41" i="1"/>
  <c r="D62" i="1" s="1"/>
  <c r="E84" i="1"/>
  <c r="E104" i="1" s="1"/>
  <c r="F45" i="1"/>
  <c r="D45" i="1" s="1"/>
  <c r="D52" i="1"/>
  <c r="D65" i="1" s="1"/>
  <c r="F32" i="1" l="1"/>
  <c r="D32" i="1" s="1"/>
  <c r="F28" i="1"/>
  <c r="D28" i="1" s="1"/>
  <c r="D92" i="1" s="1"/>
  <c r="D46" i="1"/>
  <c r="D98" i="1" s="1"/>
  <c r="D47" i="1"/>
  <c r="D107" i="1"/>
  <c r="D111" i="1" s="1"/>
  <c r="D69" i="1"/>
  <c r="D96" i="1" l="1"/>
  <c r="F48" i="1"/>
  <c r="D51" i="1"/>
  <c r="D50" i="1"/>
  <c r="D75" i="1" s="1"/>
  <c r="D94" i="1" s="1"/>
  <c r="D56" i="1" l="1"/>
  <c r="D71" i="1" s="1"/>
  <c r="D76" i="1"/>
  <c r="D90" i="1" s="1"/>
  <c r="D74" i="1"/>
  <c r="D86" i="1" s="1"/>
  <c r="D77" i="1" l="1"/>
  <c r="D78" i="1" s="1"/>
  <c r="D84" i="1" s="1"/>
  <c r="D104" i="1" s="1"/>
  <c r="D7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Matsumura</author>
    <author>Diana Rex</author>
    <author>Rex, Diana</author>
  </authors>
  <commentList>
    <comment ref="F19" authorId="0" shapeId="0" xr:uid="{00000000-0006-0000-0000-000002000000}">
      <text>
        <r>
          <rPr>
            <sz val="8"/>
            <color indexed="81"/>
            <rFont val="Tahoma"/>
            <family val="2"/>
          </rPr>
          <t xml:space="preserve">
Calculates SMIP for all group R &lt;=3 stories at $10/$100,000, &amp; at $21/$100,000 for &gt;3 stories
</t>
        </r>
      </text>
    </comment>
    <comment ref="F20" authorId="0" shapeId="0" xr:uid="{00000000-0006-0000-0000-000003000000}">
      <text>
        <r>
          <rPr>
            <sz val="8"/>
            <color indexed="81"/>
            <rFont val="Tahoma"/>
            <family val="2"/>
          </rPr>
          <t xml:space="preserve">
If hotel/motel calculate SMIP at $21/$100,000 for group R 
</t>
        </r>
      </text>
    </comment>
    <comment ref="G33" authorId="1" shapeId="0" xr:uid="{C720C127-0B81-4C44-9B79-2F62542C8CE6}">
      <text>
        <r>
          <rPr>
            <b/>
            <sz val="9"/>
            <color indexed="81"/>
            <rFont val="Tahoma"/>
            <family val="2"/>
          </rPr>
          <t>Diana Rex:</t>
        </r>
        <r>
          <rPr>
            <sz val="9"/>
            <color indexed="81"/>
            <rFont val="Tahoma"/>
            <family val="2"/>
          </rPr>
          <t xml:space="preserve">
NO limit in FY 20-21 - There should be
</t>
        </r>
      </text>
    </comment>
    <comment ref="D54" authorId="2" shapeId="0" xr:uid="{00000000-0006-0000-0000-000004000000}">
      <text>
        <r>
          <rPr>
            <b/>
            <sz val="9"/>
            <color indexed="81"/>
            <rFont val="Tahoma"/>
            <family val="2"/>
          </rPr>
          <t>Rex, Diana:</t>
        </r>
        <r>
          <rPr>
            <sz val="9"/>
            <color indexed="81"/>
            <rFont val="Tahoma"/>
            <family val="2"/>
          </rPr>
          <t xml:space="preserve">
May need to forced entry for Transportation due to Affordable Housing</t>
        </r>
      </text>
    </comment>
    <comment ref="E54" authorId="2" shapeId="0" xr:uid="{00000000-0006-0000-0000-000005000000}">
      <text>
        <r>
          <rPr>
            <b/>
            <sz val="9"/>
            <color indexed="81"/>
            <rFont val="Tahoma"/>
            <family val="2"/>
          </rPr>
          <t>Rex, Diana:</t>
        </r>
        <r>
          <rPr>
            <sz val="9"/>
            <color indexed="81"/>
            <rFont val="Tahoma"/>
            <family val="2"/>
          </rPr>
          <t xml:space="preserve">
Forced entry Transportation due to Affordable Housing</t>
        </r>
      </text>
    </comment>
    <comment ref="F82" authorId="2" shapeId="0" xr:uid="{00000000-0006-0000-0000-000006000000}">
      <text>
        <r>
          <rPr>
            <b/>
            <sz val="9"/>
            <color indexed="81"/>
            <rFont val="Tahoma"/>
            <family val="2"/>
          </rPr>
          <t>Rex, Diana:</t>
        </r>
        <r>
          <rPr>
            <sz val="9"/>
            <color indexed="81"/>
            <rFont val="Tahoma"/>
            <family val="2"/>
          </rPr>
          <t xml:space="preserve">
CAPITAL IMPROVEMENT
</t>
        </r>
      </text>
    </comment>
    <comment ref="F83" authorId="2" shapeId="0" xr:uid="{00000000-0006-0000-0000-000007000000}">
      <text>
        <r>
          <rPr>
            <b/>
            <sz val="9"/>
            <color indexed="81"/>
            <rFont val="Tahoma"/>
            <family val="2"/>
          </rPr>
          <t>Rex, Diana:</t>
        </r>
        <r>
          <rPr>
            <sz val="9"/>
            <color indexed="81"/>
            <rFont val="Tahoma"/>
            <family val="2"/>
          </rPr>
          <t xml:space="preserve">
CAPITAL IMPROVEMENT
</t>
        </r>
      </text>
    </comment>
    <comment ref="F84" authorId="2" shapeId="0" xr:uid="{00000000-0006-0000-0000-000008000000}">
      <text>
        <r>
          <rPr>
            <b/>
            <sz val="9"/>
            <color indexed="81"/>
            <rFont val="Tahoma"/>
            <family val="2"/>
          </rPr>
          <t>Rex, Diana:</t>
        </r>
        <r>
          <rPr>
            <sz val="9"/>
            <color indexed="81"/>
            <rFont val="Tahoma"/>
            <family val="2"/>
          </rPr>
          <t xml:space="preserve">
CAPITAL IMPROVEMENT
</t>
        </r>
      </text>
    </comment>
    <comment ref="F92" authorId="2" shapeId="0" xr:uid="{00000000-0006-0000-0000-000009000000}">
      <text>
        <r>
          <rPr>
            <b/>
            <sz val="9"/>
            <color indexed="81"/>
            <rFont val="Tahoma"/>
            <family val="2"/>
          </rPr>
          <t>Rex, Diana:</t>
        </r>
        <r>
          <rPr>
            <sz val="9"/>
            <color indexed="81"/>
            <rFont val="Tahoma"/>
            <family val="2"/>
          </rPr>
          <t xml:space="preserve">
Affordable Housing
</t>
        </r>
      </text>
    </comment>
  </commentList>
</comments>
</file>

<file path=xl/sharedStrings.xml><?xml version="1.0" encoding="utf-8"?>
<sst xmlns="http://schemas.openxmlformats.org/spreadsheetml/2006/main" count="225" uniqueCount="197">
  <si>
    <t>ESTIMATOR ONLY!!</t>
  </si>
  <si>
    <t>Multiple projects at once.</t>
  </si>
  <si>
    <t>Fee Category</t>
  </si>
  <si>
    <t>Enter Values</t>
  </si>
  <si>
    <t>What Should have been paid</t>
  </si>
  <si>
    <t>Category</t>
  </si>
  <si>
    <t>Zone 1</t>
  </si>
  <si>
    <t>Zone 2</t>
  </si>
  <si>
    <t>Zone 3</t>
  </si>
  <si>
    <t>Total</t>
  </si>
  <si>
    <t>Units</t>
  </si>
  <si>
    <t>Sq. Ft./Unit</t>
  </si>
  <si>
    <t>Sq. Ft.</t>
  </si>
  <si>
    <t>City of Oakland</t>
  </si>
  <si>
    <t>INSPECTION</t>
  </si>
  <si>
    <t>&lt;=$50,000 NEW</t>
  </si>
  <si>
    <t>Bdrms/Unit</t>
  </si>
  <si>
    <t>Planning &amp; Building Department</t>
  </si>
  <si>
    <t>Number of Stories</t>
  </si>
  <si>
    <t>Bedrooms</t>
  </si>
  <si>
    <t>Bureau of Building</t>
  </si>
  <si>
    <t>Parking Spaces</t>
  </si>
  <si>
    <t>250 Frank H Ogawa Plaza</t>
  </si>
  <si>
    <t>Units: Mkt. Rate</t>
  </si>
  <si>
    <t>Oakland CA 94612</t>
  </si>
  <si>
    <t>Units: Affordable</t>
  </si>
  <si>
    <t>Housing Use Type - MF; TH; SF</t>
  </si>
  <si>
    <t>Moderate -MF</t>
  </si>
  <si>
    <t xml:space="preserve">(510) 238-3891 Information  </t>
  </si>
  <si>
    <t>Low-MF</t>
  </si>
  <si>
    <t xml:space="preserve">(510) 238-3444 Inspections  </t>
  </si>
  <si>
    <t>Very Low-MF</t>
  </si>
  <si>
    <t>Website: aca.accela.com/oakland</t>
  </si>
  <si>
    <t>Other (1), R2 [=&gt;3 units(2)], R3 [1-2 units(3)]</t>
  </si>
  <si>
    <t>Value per Sq. Ft.</t>
  </si>
  <si>
    <t>Hotel or Motel? (Y)</t>
  </si>
  <si>
    <t>N</t>
  </si>
  <si>
    <t>Construction Value</t>
  </si>
  <si>
    <t>&gt;=$50,001 NEW</t>
  </si>
  <si>
    <t>Square footage Commercial *(School Impact Fee)</t>
  </si>
  <si>
    <t>Insp fee NEW</t>
  </si>
  <si>
    <t>Square footage Office/Warehouse  *(Job Impact Fee)</t>
  </si>
  <si>
    <t>Number of Parking Spaces</t>
  </si>
  <si>
    <t>SMIP R occupancies, &lt;4 stories, not hotel/motel</t>
  </si>
  <si>
    <t>Number of Bedrooms</t>
  </si>
  <si>
    <t>SMIP all other buildings</t>
  </si>
  <si>
    <t>Number of Extra Addresses</t>
  </si>
  <si>
    <t xml:space="preserve">Stage of Project  (Planning Pre- App (1), Planning Approved (2),Permit Filed, (3); Permit Issued (4), Under Construction (4), Project Complete(4) </t>
  </si>
  <si>
    <t>Calculated Values</t>
  </si>
  <si>
    <t>Fees</t>
  </si>
  <si>
    <t>&lt;=$50,000 ALT</t>
  </si>
  <si>
    <t>&gt;=$50,001 ALT</t>
  </si>
  <si>
    <t>insp fee ALT</t>
  </si>
  <si>
    <t>zoning insp add/alt</t>
  </si>
  <si>
    <t>Bedroom Tax (OA -08721)</t>
  </si>
  <si>
    <t>Subtotal Fees Above</t>
  </si>
  <si>
    <r>
      <t xml:space="preserve">Records Management &amp; Technology Enhancement 14.75% </t>
    </r>
    <r>
      <rPr>
        <b/>
        <sz val="11"/>
        <rFont val="Arial"/>
        <family val="2"/>
      </rPr>
      <t>(84111)</t>
    </r>
  </si>
  <si>
    <t>Affordable Housing</t>
  </si>
  <si>
    <t>Capital Improvement</t>
  </si>
  <si>
    <t>Transportation</t>
  </si>
  <si>
    <t>Total Permit fee for Applicant</t>
  </si>
  <si>
    <t>FEES ARE NOT REVENUES FOR PLANNING &amp; BUILDING DEPARTMENT</t>
  </si>
  <si>
    <t>Bedroom Tax</t>
  </si>
  <si>
    <t>Fire Review</t>
  </si>
  <si>
    <t>School Tax (97%)</t>
  </si>
  <si>
    <t>CBSC - (California Building Standards Commission) (90%)</t>
  </si>
  <si>
    <t>Job/Housing</t>
  </si>
  <si>
    <t>TOTAL COLLECTED FOR  NON-REVENUE FOR PLANNING &amp; BUILDING DEPARTMENT</t>
  </si>
  <si>
    <t>Total Revenue for Planning &amp; Building Department</t>
  </si>
  <si>
    <t>Other Fee Processing Revenues</t>
  </si>
  <si>
    <t>Other Factors</t>
  </si>
  <si>
    <t>Planning Revenues (84229)</t>
  </si>
  <si>
    <t>times Building Services Revenues (line 22)</t>
  </si>
  <si>
    <t>Grading Revenues (84432)</t>
  </si>
  <si>
    <t>Alterations/Additions Revenues (84421)</t>
  </si>
  <si>
    <t>Subtotal</t>
  </si>
  <si>
    <t>interest rate times n0n-accounts</t>
  </si>
  <si>
    <t>Total Other Fee Processing Revenues</t>
  </si>
  <si>
    <t>Zone 2 - Multi-Family, 6 Stories or less</t>
  </si>
  <si>
    <t>Organization &amp; Description</t>
  </si>
  <si>
    <t>FY 2018-2019 Total</t>
  </si>
  <si>
    <t>84229 - Zoning Total</t>
  </si>
  <si>
    <t>84411 - Admin: Engineering Total ( OT charges)</t>
  </si>
  <si>
    <t>n/a</t>
  </si>
  <si>
    <t>84421 - Engineering: Permit Center Total</t>
  </si>
  <si>
    <t>84431 - Building and Infrastructure Plan Check Total</t>
  </si>
  <si>
    <t>84432 - Engineering: Project Coordination Total</t>
  </si>
  <si>
    <t>84451 - Inspections: Commercial Building Total, incl. Apts. of 5+ Units</t>
  </si>
  <si>
    <t>84452 - Inspections: Residential Building Total</t>
  </si>
  <si>
    <t>84453 - Inspections: Infrastructure Total</t>
  </si>
  <si>
    <t>84454 - Inspections: Neighborhood Preservation total (Code Enforcement)</t>
  </si>
  <si>
    <t>Grand Total</t>
  </si>
  <si>
    <t>Development Impact Fees</t>
  </si>
  <si>
    <t>N-11, item P</t>
  </si>
  <si>
    <t>N-11. Item P-3</t>
  </si>
  <si>
    <t>N-17, Item G + N- 5 D.2</t>
  </si>
  <si>
    <t>N-16,  Item N</t>
  </si>
  <si>
    <t>New Construction</t>
  </si>
  <si>
    <t>$1 to $ 2,0000</t>
  </si>
  <si>
    <t>Inspection Cost</t>
  </si>
  <si>
    <t>Surcharge</t>
  </si>
  <si>
    <t>Each Additional or Fraction thereof</t>
  </si>
  <si>
    <t>$2,001 to $25,000</t>
  </si>
  <si>
    <t>per $500</t>
  </si>
  <si>
    <t>per $ 1,000</t>
  </si>
  <si>
    <t xml:space="preserve">$250,001 and higher </t>
  </si>
  <si>
    <t>Repair/Additions/Alteration</t>
  </si>
  <si>
    <t>$50,0001 to $200,000</t>
  </si>
  <si>
    <t>2.   125%  of Inspection Fee for Plan Check Routed</t>
  </si>
  <si>
    <t>6.   3% of Inspection Fee for Valuation &gt;=$500,000</t>
  </si>
  <si>
    <t xml:space="preserve">9.    65% of Inspection Fee for Fire </t>
  </si>
  <si>
    <t>13. Multiple of address fee, each number</t>
  </si>
  <si>
    <t>14. $100 per new bedroom</t>
  </si>
  <si>
    <t>18. CBSB-SB1473/CAL Build Standard:$1&lt;$50k; $2=&gt;$50;add $1/$25k more</t>
  </si>
  <si>
    <t>22. Subtotal________</t>
  </si>
  <si>
    <t>23. 14.75% of Subtotal</t>
  </si>
  <si>
    <t xml:space="preserve">24-26 Impact Fees </t>
  </si>
  <si>
    <t xml:space="preserve">Inspection Fee </t>
  </si>
  <si>
    <t xml:space="preserve">Plan Check Routed </t>
  </si>
  <si>
    <t xml:space="preserve">Plan Check not Routed  </t>
  </si>
  <si>
    <t xml:space="preserve">General Plan Update </t>
  </si>
  <si>
    <t xml:space="preserve">SMIP </t>
  </si>
  <si>
    <t xml:space="preserve">Process Coordination </t>
  </si>
  <si>
    <t xml:space="preserve">Zoning Conditions </t>
  </si>
  <si>
    <t xml:space="preserve">Zoning Inspections </t>
  </si>
  <si>
    <t xml:space="preserve">Fire Review </t>
  </si>
  <si>
    <t xml:space="preserve">Site Plan Review; Parking Review; Site Monitoring; </t>
  </si>
  <si>
    <t xml:space="preserve">Certificate of Occupancy </t>
  </si>
  <si>
    <t xml:space="preserve">Address Fee </t>
  </si>
  <si>
    <t>Additional Address Numbers</t>
  </si>
  <si>
    <t xml:space="preserve">Application Fee </t>
  </si>
  <si>
    <t xml:space="preserve">School Tax (School Tax 97% + School Tax City 3%) </t>
  </si>
  <si>
    <t xml:space="preserve">Field Check </t>
  </si>
  <si>
    <t xml:space="preserve">CBSC </t>
  </si>
  <si>
    <t xml:space="preserve">Plumbing Inspections </t>
  </si>
  <si>
    <t xml:space="preserve">Electrical Inspections </t>
  </si>
  <si>
    <t>Mechanical Inspections</t>
  </si>
  <si>
    <t xml:space="preserve">5    Strong Motion - Category 1 (1 to 3 Story) = Valuation * .00013                                Strong Motion - Category 2 (over 3 Story) = Valuation * .00028 </t>
  </si>
  <si>
    <t>Permitnfo@oaklandca.gov</t>
  </si>
  <si>
    <t xml:space="preserve">What IMPACT FEE ZONE 1,2,3 are you in? </t>
  </si>
  <si>
    <t>How many total Units #</t>
  </si>
  <si>
    <t>How many Market Rate Units?</t>
  </si>
  <si>
    <t>Zoning Square Footage (Impact Fees)</t>
  </si>
  <si>
    <t>What USE TYPE?  - Office (O);Retail Freestanding (RF);Retail Ground Floor (RG) ;Industrial (I1);Warehouse (W),Hotel (H), Institutional (I2); None (leave blank)</t>
  </si>
  <si>
    <t>MEP Permits - Residential [R]; Commercial [C]; NO MEP (leave Blank)</t>
  </si>
  <si>
    <t>1.   Inspection Fee Per Table Shown Above</t>
  </si>
  <si>
    <t>$25,001 to $50,000</t>
  </si>
  <si>
    <t>$50,001 to $100,000</t>
  </si>
  <si>
    <t>$100,001 to $ 250,000</t>
  </si>
  <si>
    <t>$200,001 or higher</t>
  </si>
  <si>
    <t xml:space="preserve">Records Management &amp; Technology Enhancement 14.75% </t>
  </si>
  <si>
    <t>Project is brand new construction (1); Project is altering or adding to structure (2); Project will change the existing use of a structure to a new use (3)</t>
  </si>
  <si>
    <t>Planning application approved; if one is not required  leave blank</t>
  </si>
  <si>
    <t>Final count of stories.</t>
  </si>
  <si>
    <t>What type of occupancy will it be?</t>
  </si>
  <si>
    <t>Is this a hotel or motel? Yes or No</t>
  </si>
  <si>
    <t xml:space="preserve">Field Check? (Y) </t>
  </si>
  <si>
    <t>New (1), Alteration/Addition (2), Occupancy change (3)</t>
  </si>
  <si>
    <t>HINTS</t>
  </si>
  <si>
    <t>What is the Valuation?</t>
  </si>
  <si>
    <t>Plans Routed (1); Engineer at Counter (2); No Plans (0)</t>
  </si>
  <si>
    <t>Can be found on City of Oakland Webpage</t>
  </si>
  <si>
    <t>Additional square footage added?</t>
  </si>
  <si>
    <t>28.  Total __________</t>
  </si>
  <si>
    <t xml:space="preserve">Valuation </t>
  </si>
  <si>
    <t>MF = Multi-family; TH = Townhome; SF = Single Family</t>
  </si>
  <si>
    <t>Square footage Residential *(School Impact Fee)</t>
  </si>
  <si>
    <t>Under 500 sq. ft. attached ADUs does not require School Fee</t>
  </si>
  <si>
    <t xml:space="preserve">Project requires plans = 1; Project does not require plans = 0; Project requires plans but needs Engineer to review = 2; </t>
  </si>
  <si>
    <t>Regulatory Agreement for Affordable housing and ADUs are not required to pay Impact Fees</t>
  </si>
  <si>
    <t>Inspections</t>
  </si>
  <si>
    <t>Jobs/Housing Fee &gt;25,000 sq. ft.</t>
  </si>
  <si>
    <t>27.  Job Impact Fee - Sq. Ft &gt; 25,000 * 5.90</t>
  </si>
  <si>
    <t>SMIP - (Strong Motion Instrumentation &amp; Seismic Hazard Mapping Fee ) - (95%)</t>
  </si>
  <si>
    <t>84111 - Administration: Planning and Neighborhood Preservation Total</t>
  </si>
  <si>
    <t>Field checks are required for Code Enforcement Cases or Completion Permits</t>
  </si>
  <si>
    <t>Is this associated with a DRX or DS planning permit?  (Y) or (N)</t>
  </si>
  <si>
    <t>Ours is Based on Marshall Swift Calculation</t>
  </si>
  <si>
    <t>3.    If not Routed but Plan Checked by Counter Support (1/2hr) = $91                              and if by Engineer at Counter (1/2 hr.) = $135</t>
  </si>
  <si>
    <t xml:space="preserve">4.   0.60% of Building Valuation </t>
  </si>
  <si>
    <t>7.     Z Conditions = (1) $265 +265/$100K over 300K (2&amp;3) $265 over $25,000</t>
  </si>
  <si>
    <t>8      Z Inspection = (1)$417+$109/$100K over $200K, max 10,000.(2&amp;3) $290 over 5,000</t>
  </si>
  <si>
    <t>10.  Site Plan Review (includes  construction site monitoring + parking review + surcharge): add $433  +  712 + ( 1-4 = 500; 5-20 cars $634; 21-40 cars $770; 41-120 cars $906;  121-300 cars $1041;301 or more $1176</t>
  </si>
  <si>
    <t>11. Certificate of Occupancy Permit Related = $762</t>
  </si>
  <si>
    <t>12. $52.50 per dwelling &amp; $146.00 all others</t>
  </si>
  <si>
    <t>15. $4.08 per sf residential &gt; 500sqft or unattached units; $0.66/sf commercial     $0.66 per square foot office/warehouse &gt; 25,000SF</t>
  </si>
  <si>
    <t>16. Intake of application $76</t>
  </si>
  <si>
    <t>17. $218 Field Check Inspection Fee</t>
  </si>
  <si>
    <t>19. Plumbing Inspections (Residential 15%) (Commercial 25%) of Inspection Fee</t>
  </si>
  <si>
    <t>20. Electrical Inspections (Residential 15%) (Commercial 25%) of Inspection Fee</t>
  </si>
  <si>
    <t>21. Mechanical Inspections (Residential 15%) (Commercial 25%) of Inspection Fee</t>
  </si>
  <si>
    <t>n</t>
  </si>
  <si>
    <t>y</t>
  </si>
  <si>
    <t>per $1,000</t>
  </si>
  <si>
    <t>sf</t>
  </si>
  <si>
    <t>A, E, I, H, Occupancy? (Y)  or (N)</t>
  </si>
  <si>
    <t>Master Fee Schedule as of January 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</si>
</sst>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
    <numFmt numFmtId="165" formatCode="\,"/>
    <numFmt numFmtId="166" formatCode="&quot;$&quot;#,##0.00"/>
  </numFmts>
  <fonts count="4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8"/>
      <name val="Arial"/>
      <family val="2"/>
    </font>
    <font>
      <sz val="10"/>
      <color theme="1"/>
      <name val="Arial"/>
      <family val="2"/>
    </font>
    <font>
      <b/>
      <sz val="10"/>
      <color theme="1"/>
      <name val="Arial"/>
      <family val="2"/>
    </font>
    <font>
      <b/>
      <sz val="8"/>
      <name val="Arial"/>
      <family val="2"/>
    </font>
    <font>
      <b/>
      <sz val="10"/>
      <name val="Arial"/>
      <family val="2"/>
    </font>
    <font>
      <sz val="10"/>
      <color rgb="FFFF0000"/>
      <name val="Arial"/>
      <family val="2"/>
    </font>
    <font>
      <sz val="10"/>
      <name val="Arial"/>
      <family val="2"/>
    </font>
    <font>
      <b/>
      <sz val="7"/>
      <name val="Arial"/>
      <family val="2"/>
    </font>
    <font>
      <b/>
      <sz val="12"/>
      <color rgb="FF000000"/>
      <name val="Arial"/>
      <family val="2"/>
    </font>
    <font>
      <sz val="11"/>
      <color theme="6" tint="-0.499984740745262"/>
      <name val="Arial"/>
      <family val="2"/>
    </font>
    <font>
      <b/>
      <sz val="11"/>
      <name val="Arial"/>
      <family val="2"/>
    </font>
    <font>
      <b/>
      <sz val="9"/>
      <name val="Arial"/>
      <family val="2"/>
    </font>
    <font>
      <b/>
      <sz val="14"/>
      <name val="Arial"/>
      <family val="2"/>
    </font>
    <font>
      <b/>
      <sz val="12"/>
      <name val="Arial"/>
      <family val="2"/>
    </font>
    <font>
      <b/>
      <u/>
      <sz val="12"/>
      <name val="Arial"/>
      <family val="2"/>
    </font>
    <font>
      <sz val="12"/>
      <name val="Arial"/>
      <family val="2"/>
    </font>
    <font>
      <u/>
      <sz val="10"/>
      <name val="Arial"/>
      <family val="2"/>
    </font>
    <font>
      <b/>
      <sz val="9"/>
      <color indexed="81"/>
      <name val="Tahoma"/>
      <family val="2"/>
    </font>
    <font>
      <sz val="9"/>
      <color indexed="81"/>
      <name val="Tahoma"/>
      <family val="2"/>
    </font>
    <font>
      <sz val="8"/>
      <color indexed="81"/>
      <name val="Tahoma"/>
      <family val="2"/>
    </font>
    <font>
      <b/>
      <sz val="20"/>
      <name val="Arial"/>
      <family val="2"/>
    </font>
    <font>
      <b/>
      <sz val="5"/>
      <name val="Arial"/>
      <family val="2"/>
    </font>
    <font>
      <u/>
      <sz val="11"/>
      <color theme="10"/>
      <name val="Calibri"/>
      <family val="2"/>
      <scheme val="minor"/>
    </font>
    <font>
      <sz val="12"/>
      <color theme="1"/>
      <name val="Calibri"/>
      <family val="2"/>
      <scheme val="minor"/>
    </font>
    <font>
      <sz val="12"/>
      <color rgb="FF006100"/>
      <name val="Arial"/>
      <family val="2"/>
    </font>
    <font>
      <sz val="12"/>
      <color rgb="FF9C0006"/>
      <name val="Arial"/>
      <family val="2"/>
    </font>
    <font>
      <sz val="14"/>
      <name val="Arial"/>
      <family val="2"/>
    </font>
    <font>
      <sz val="14"/>
      <color rgb="FF006100"/>
      <name val="Arial"/>
      <family val="2"/>
    </font>
    <font>
      <sz val="14"/>
      <color theme="6" tint="-0.499984740745262"/>
      <name val="Arial"/>
      <family val="2"/>
    </font>
    <font>
      <b/>
      <sz val="14"/>
      <color theme="6" tint="-0.499984740745262"/>
      <name val="Arial"/>
      <family val="2"/>
    </font>
    <font>
      <sz val="11"/>
      <color theme="0"/>
      <name val="Calibri"/>
      <family val="2"/>
      <scheme val="minor"/>
    </font>
    <font>
      <b/>
      <sz val="20"/>
      <color theme="1"/>
      <name val="Arial"/>
      <family val="2"/>
    </font>
    <font>
      <sz val="11"/>
      <color theme="1"/>
      <name val="Arial"/>
      <family val="2"/>
    </font>
    <font>
      <sz val="11"/>
      <name val="Arial"/>
      <family val="2"/>
    </font>
    <font>
      <sz val="11"/>
      <color rgb="FF006100"/>
      <name val="Arial"/>
      <family val="2"/>
    </font>
    <font>
      <sz val="11"/>
      <color rgb="FF9C0006"/>
      <name val="Arial"/>
      <family val="2"/>
    </font>
    <font>
      <sz val="11"/>
      <color rgb="FFFF0000"/>
      <name val="Arial"/>
      <family val="2"/>
    </font>
    <font>
      <sz val="12"/>
      <color theme="1"/>
      <name val="Arial"/>
      <family val="2"/>
    </font>
    <font>
      <b/>
      <sz val="14"/>
      <color rgb="FFFF0000"/>
      <name val="Arial"/>
      <family val="2"/>
    </font>
    <font>
      <sz val="14"/>
      <color theme="0"/>
      <name val="Calibri"/>
      <family val="2"/>
      <scheme val="minor"/>
    </font>
    <font>
      <i/>
      <sz val="12"/>
      <color rgb="FF000000"/>
      <name val="Calibri"/>
      <family val="2"/>
      <scheme val="minor"/>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6"/>
      </patternFill>
    </fill>
    <fill>
      <patternFill patternType="solid">
        <fgColor theme="6" tint="0.79998168889431442"/>
        <bgColor indexed="65"/>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right style="thin">
        <color rgb="FFB2B2B2"/>
      </right>
      <top/>
      <bottom style="medium">
        <color indexed="64"/>
      </bottom>
      <diagonal/>
    </border>
    <border>
      <left style="thin">
        <color rgb="FFB2B2B2"/>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 fillId="6" borderId="0" applyNumberFormat="0" applyBorder="0" applyAlignment="0" applyProtection="0"/>
    <xf numFmtId="0" fontId="5" fillId="0" borderId="0"/>
    <xf numFmtId="0" fontId="1" fillId="0" borderId="0"/>
    <xf numFmtId="0" fontId="26" fillId="0" borderId="0" applyNumberFormat="0" applyFill="0" applyBorder="0" applyAlignment="0" applyProtection="0"/>
    <xf numFmtId="0" fontId="34" fillId="12" borderId="0" applyNumberFormat="0" applyBorder="0" applyAlignment="0" applyProtection="0"/>
    <xf numFmtId="0" fontId="1" fillId="13" borderId="0" applyNumberFormat="0" applyBorder="0" applyAlignment="0" applyProtection="0"/>
  </cellStyleXfs>
  <cellXfs count="218">
    <xf numFmtId="0" fontId="0" fillId="0" borderId="0" xfId="0"/>
    <xf numFmtId="164" fontId="4" fillId="0" borderId="0" xfId="0" applyNumberFormat="1" applyFont="1" applyFill="1" applyProtection="1">
      <protection hidden="1"/>
    </xf>
    <xf numFmtId="164" fontId="4" fillId="0" borderId="0" xfId="0" applyNumberFormat="1" applyFont="1" applyFill="1" applyBorder="1" applyProtection="1">
      <protection hidden="1"/>
    </xf>
    <xf numFmtId="164" fontId="4" fillId="0" borderId="0" xfId="0" applyNumberFormat="1" applyFont="1" applyFill="1" applyAlignment="1" applyProtection="1">
      <alignment wrapText="1"/>
      <protection hidden="1"/>
    </xf>
    <xf numFmtId="164" fontId="4" fillId="0" borderId="0" xfId="0" applyNumberFormat="1" applyFont="1"/>
    <xf numFmtId="164" fontId="9" fillId="0" borderId="0" xfId="0" applyNumberFormat="1" applyFont="1"/>
    <xf numFmtId="0" fontId="8" fillId="0" borderId="0" xfId="0" applyFont="1"/>
    <xf numFmtId="0" fontId="8" fillId="0" borderId="0" xfId="0" applyFont="1" applyAlignment="1">
      <alignment horizontal="center"/>
    </xf>
    <xf numFmtId="0" fontId="7" fillId="0" borderId="0" xfId="0" applyFont="1" applyAlignment="1">
      <alignment horizontal="center" wrapText="1"/>
    </xf>
    <xf numFmtId="0" fontId="8" fillId="0" borderId="0" xfId="0" applyFont="1" applyBorder="1" applyAlignment="1">
      <alignment horizontal="left"/>
    </xf>
    <xf numFmtId="0" fontId="11" fillId="0" borderId="0" xfId="0" applyFont="1" applyAlignment="1">
      <alignment horizontal="center"/>
    </xf>
    <xf numFmtId="0" fontId="7" fillId="0" borderId="0" xfId="0" applyFont="1" applyAlignment="1">
      <alignment horizontal="center"/>
    </xf>
    <xf numFmtId="0" fontId="12" fillId="0" borderId="0" xfId="0" applyFont="1" applyAlignment="1">
      <alignment wrapText="1" readingOrder="1"/>
    </xf>
    <xf numFmtId="0" fontId="10" fillId="0" borderId="0" xfId="0" applyFont="1"/>
    <xf numFmtId="0" fontId="0" fillId="0" borderId="0" xfId="0" applyFill="1"/>
    <xf numFmtId="164" fontId="9" fillId="0" borderId="0" xfId="0" applyNumberFormat="1" applyFont="1" applyFill="1"/>
    <xf numFmtId="0" fontId="2" fillId="0" borderId="0" xfId="1" applyFill="1"/>
    <xf numFmtId="164" fontId="9" fillId="0" borderId="0" xfId="0" applyNumberFormat="1" applyFont="1" applyBorder="1"/>
    <xf numFmtId="0" fontId="0" fillId="10" borderId="0" xfId="0" applyFill="1"/>
    <xf numFmtId="164" fontId="9" fillId="0" borderId="0" xfId="0" applyNumberFormat="1" applyFont="1" applyFill="1" applyBorder="1"/>
    <xf numFmtId="0" fontId="15" fillId="0" borderId="0" xfId="0" applyFont="1" applyAlignment="1">
      <alignment horizontal="right"/>
    </xf>
    <xf numFmtId="0" fontId="10" fillId="0" borderId="6" xfId="0" applyFont="1" applyFill="1" applyBorder="1" applyAlignment="1">
      <alignment wrapText="1"/>
    </xf>
    <xf numFmtId="0" fontId="0" fillId="0" borderId="6" xfId="0" applyBorder="1" applyAlignment="1">
      <alignment wrapText="1"/>
    </xf>
    <xf numFmtId="0" fontId="17" fillId="0" borderId="9" xfId="0" applyFont="1" applyBorder="1" applyAlignment="1">
      <alignment wrapText="1"/>
    </xf>
    <xf numFmtId="0" fontId="17" fillId="0" borderId="0" xfId="0" applyFont="1" applyBorder="1" applyAlignment="1">
      <alignment wrapText="1"/>
    </xf>
    <xf numFmtId="0" fontId="18" fillId="0" borderId="0" xfId="0" applyFont="1" applyBorder="1" applyAlignment="1">
      <alignment wrapText="1"/>
    </xf>
    <xf numFmtId="0" fontId="19" fillId="0" borderId="0" xfId="0" applyFont="1" applyBorder="1" applyAlignment="1">
      <alignment wrapText="1"/>
    </xf>
    <xf numFmtId="0" fontId="0" fillId="0" borderId="0" xfId="0" applyAlignment="1">
      <alignment horizontal="left" wrapText="1"/>
    </xf>
    <xf numFmtId="164" fontId="4" fillId="0" borderId="0" xfId="0" quotePrefix="1" applyNumberFormat="1" applyFont="1" applyFill="1" applyProtection="1">
      <protection hidden="1"/>
    </xf>
    <xf numFmtId="0" fontId="10" fillId="0" borderId="0" xfId="0" applyFont="1" applyFill="1"/>
    <xf numFmtId="0" fontId="8" fillId="0" borderId="0" xfId="0" applyFont="1" applyFill="1"/>
    <xf numFmtId="0" fontId="12" fillId="0" borderId="0" xfId="0" applyFont="1" applyFill="1" applyAlignment="1">
      <alignment wrapText="1" readingOrder="1"/>
    </xf>
    <xf numFmtId="164" fontId="10" fillId="0" borderId="0" xfId="0" applyNumberFormat="1" applyFont="1"/>
    <xf numFmtId="164" fontId="15" fillId="0" borderId="0" xfId="0" applyNumberFormat="1" applyFont="1" applyFill="1" applyAlignment="1" applyProtection="1">
      <alignment horizontal="right" wrapText="1"/>
      <protection hidden="1"/>
    </xf>
    <xf numFmtId="164" fontId="25" fillId="0" borderId="0" xfId="0" applyNumberFormat="1" applyFont="1" applyFill="1" applyAlignment="1" applyProtection="1">
      <alignment horizontal="right" wrapText="1"/>
      <protection hidden="1"/>
    </xf>
    <xf numFmtId="164" fontId="4" fillId="0" borderId="0" xfId="0" applyNumberFormat="1" applyFont="1" applyFill="1" applyBorder="1"/>
    <xf numFmtId="164" fontId="4" fillId="0" borderId="0" xfId="0" applyNumberFormat="1" applyFont="1" applyFill="1" applyBorder="1" applyAlignment="1" applyProtection="1">
      <alignment wrapText="1"/>
      <protection hidden="1"/>
    </xf>
    <xf numFmtId="164" fontId="10"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164" fontId="10" fillId="0" borderId="0" xfId="0" applyNumberFormat="1" applyFont="1" applyFill="1"/>
    <xf numFmtId="164" fontId="10" fillId="0" borderId="0" xfId="0" applyNumberFormat="1" applyFont="1" applyBorder="1"/>
    <xf numFmtId="164" fontId="4" fillId="0" borderId="15" xfId="3" applyNumberFormat="1" applyFont="1" applyFill="1" applyBorder="1" applyProtection="1">
      <protection hidden="1"/>
    </xf>
    <xf numFmtId="164" fontId="10" fillId="0" borderId="0" xfId="0" applyNumberFormat="1" applyFont="1" applyFill="1" applyBorder="1"/>
    <xf numFmtId="164" fontId="4" fillId="0" borderId="0" xfId="0" applyNumberFormat="1" applyFont="1" applyFill="1" applyBorder="1" applyAlignment="1">
      <alignment wrapText="1"/>
    </xf>
    <xf numFmtId="164" fontId="4" fillId="0" borderId="0" xfId="0" applyNumberFormat="1" applyFont="1" applyFill="1"/>
    <xf numFmtId="164" fontId="15" fillId="0" borderId="0" xfId="0" applyNumberFormat="1" applyFont="1" applyBorder="1" applyAlignment="1">
      <alignment horizontal="right"/>
    </xf>
    <xf numFmtId="164" fontId="4" fillId="0" borderId="0" xfId="0" quotePrefix="1" applyNumberFormat="1" applyFont="1" applyFill="1" applyAlignment="1" applyProtection="1">
      <alignment wrapText="1"/>
      <protection hidden="1"/>
    </xf>
    <xf numFmtId="164" fontId="10" fillId="0" borderId="0" xfId="6" applyNumberFormat="1" applyFont="1"/>
    <xf numFmtId="164" fontId="10" fillId="0" borderId="0" xfId="6" applyNumberFormat="1" applyFont="1" applyAlignment="1">
      <alignment horizontal="center"/>
    </xf>
    <xf numFmtId="164" fontId="17" fillId="0" borderId="0" xfId="0" applyNumberFormat="1" applyFont="1" applyAlignment="1">
      <alignment wrapText="1" readingOrder="1"/>
    </xf>
    <xf numFmtId="164" fontId="4" fillId="4" borderId="1" xfId="3" applyNumberFormat="1" applyFont="1" applyProtection="1">
      <protection hidden="1"/>
    </xf>
    <xf numFmtId="164" fontId="4" fillId="4" borderId="1" xfId="3" applyNumberFormat="1" applyFont="1"/>
    <xf numFmtId="164" fontId="10" fillId="0" borderId="0" xfId="0" applyNumberFormat="1" applyFont="1" applyAlignment="1">
      <alignment horizontal="center"/>
    </xf>
    <xf numFmtId="0" fontId="0" fillId="0" borderId="0" xfId="0" applyAlignment="1">
      <alignment wrapText="1"/>
    </xf>
    <xf numFmtId="0" fontId="0" fillId="0" borderId="0" xfId="0" applyFill="1" applyAlignment="1">
      <alignment wrapText="1"/>
    </xf>
    <xf numFmtId="164" fontId="10" fillId="0" borderId="0" xfId="0" applyNumberFormat="1" applyFont="1" applyAlignment="1">
      <alignment wrapText="1"/>
    </xf>
    <xf numFmtId="164" fontId="9" fillId="0" borderId="0" xfId="0" applyNumberFormat="1" applyFont="1" applyAlignment="1">
      <alignment wrapText="1"/>
    </xf>
    <xf numFmtId="0" fontId="0" fillId="0" borderId="0" xfId="0" applyBorder="1"/>
    <xf numFmtId="0" fontId="26" fillId="0" borderId="0" xfId="8"/>
    <xf numFmtId="0" fontId="19" fillId="7" borderId="7" xfId="0" applyNumberFormat="1" applyFont="1" applyFill="1" applyBorder="1" applyAlignment="1" applyProtection="1">
      <alignment horizontal="center" wrapText="1"/>
      <protection locked="0"/>
    </xf>
    <xf numFmtId="0" fontId="24" fillId="0" borderId="0" xfId="0" applyFont="1" applyAlignment="1">
      <alignment horizontal="centerContinuous" vertical="center" wrapText="1"/>
    </xf>
    <xf numFmtId="0" fontId="16" fillId="0" borderId="3" xfId="0" applyFont="1" applyBorder="1" applyAlignment="1">
      <alignment wrapText="1"/>
    </xf>
    <xf numFmtId="0" fontId="10" fillId="0" borderId="6" xfId="0" applyFont="1" applyBorder="1" applyAlignment="1">
      <alignment wrapText="1"/>
    </xf>
    <xf numFmtId="0" fontId="13" fillId="0" borderId="0" xfId="0" applyFont="1" applyBorder="1" applyAlignment="1">
      <alignment wrapText="1"/>
    </xf>
    <xf numFmtId="165" fontId="6" fillId="0" borderId="23" xfId="0" applyNumberFormat="1" applyFont="1" applyBorder="1" applyAlignment="1">
      <alignment horizontal="center" wrapText="1"/>
    </xf>
    <xf numFmtId="0" fontId="0" fillId="0" borderId="0" xfId="0" applyAlignment="1">
      <alignment horizontal="center" wrapText="1"/>
    </xf>
    <xf numFmtId="0" fontId="8" fillId="0" borderId="5" xfId="0" applyFont="1" applyBorder="1" applyAlignment="1">
      <alignment horizontal="center" wrapText="1"/>
    </xf>
    <xf numFmtId="0" fontId="10" fillId="0" borderId="0" xfId="0" applyFont="1" applyFill="1" applyBorder="1" applyAlignment="1">
      <alignment wrapText="1"/>
    </xf>
    <xf numFmtId="0" fontId="30" fillId="0" borderId="6" xfId="0" applyFont="1" applyBorder="1" applyAlignment="1">
      <alignment wrapText="1"/>
    </xf>
    <xf numFmtId="0" fontId="31" fillId="2" borderId="6" xfId="1" applyFont="1" applyBorder="1" applyAlignment="1">
      <alignment wrapText="1"/>
    </xf>
    <xf numFmtId="0" fontId="16" fillId="9" borderId="6" xfId="0" applyFont="1" applyFill="1" applyBorder="1" applyAlignment="1">
      <alignment wrapText="1"/>
    </xf>
    <xf numFmtId="0" fontId="30" fillId="0" borderId="6" xfId="0" applyFont="1" applyFill="1" applyBorder="1" applyAlignment="1">
      <alignment wrapText="1"/>
    </xf>
    <xf numFmtId="0" fontId="30" fillId="0" borderId="8" xfId="0" applyFont="1" applyFill="1" applyBorder="1" applyAlignment="1">
      <alignment wrapText="1"/>
    </xf>
    <xf numFmtId="0" fontId="30" fillId="0" borderId="28" xfId="1" applyFont="1" applyFill="1" applyBorder="1" applyAlignment="1">
      <alignment horizontal="center" wrapText="1"/>
    </xf>
    <xf numFmtId="0" fontId="30" fillId="0" borderId="9" xfId="1" applyFont="1" applyFill="1" applyBorder="1" applyAlignment="1">
      <alignment wrapText="1"/>
    </xf>
    <xf numFmtId="0" fontId="32" fillId="0" borderId="13" xfId="1" applyFont="1" applyFill="1" applyBorder="1" applyAlignment="1">
      <alignment wrapText="1"/>
    </xf>
    <xf numFmtId="0" fontId="32" fillId="0" borderId="13" xfId="0" applyFont="1" applyFill="1" applyBorder="1" applyAlignment="1">
      <alignment wrapText="1"/>
    </xf>
    <xf numFmtId="0" fontId="32" fillId="0" borderId="13" xfId="0" applyFont="1" applyBorder="1" applyAlignment="1">
      <alignment wrapText="1"/>
    </xf>
    <xf numFmtId="0" fontId="33" fillId="0" borderId="13" xfId="0" applyFont="1" applyBorder="1" applyAlignment="1">
      <alignment wrapText="1"/>
    </xf>
    <xf numFmtId="0" fontId="32" fillId="0" borderId="16" xfId="0" applyFont="1" applyBorder="1" applyAlignment="1">
      <alignment wrapText="1"/>
    </xf>
    <xf numFmtId="0" fontId="32" fillId="0" borderId="18" xfId="3" applyFont="1" applyFill="1" applyBorder="1" applyAlignment="1">
      <alignment wrapText="1"/>
    </xf>
    <xf numFmtId="0" fontId="33" fillId="0" borderId="21" xfId="0" applyFont="1" applyBorder="1" applyAlignment="1">
      <alignment wrapText="1"/>
    </xf>
    <xf numFmtId="164" fontId="37" fillId="0" borderId="0" xfId="0" applyNumberFormat="1" applyFont="1"/>
    <xf numFmtId="0" fontId="36" fillId="0" borderId="0" xfId="0" applyFont="1"/>
    <xf numFmtId="0" fontId="36" fillId="8" borderId="0" xfId="0" applyFont="1" applyFill="1"/>
    <xf numFmtId="164" fontId="38" fillId="2" borderId="0" xfId="1" applyNumberFormat="1" applyFont="1" applyAlignment="1" applyProtection="1">
      <alignment wrapText="1"/>
      <protection hidden="1"/>
    </xf>
    <xf numFmtId="164" fontId="38" fillId="2" borderId="0" xfId="1" applyNumberFormat="1" applyFont="1" applyBorder="1" applyAlignment="1" applyProtection="1">
      <alignment wrapText="1"/>
      <protection hidden="1"/>
    </xf>
    <xf numFmtId="164" fontId="37" fillId="0" borderId="0" xfId="1" applyNumberFormat="1" applyFont="1" applyFill="1" applyBorder="1" applyAlignment="1" applyProtection="1">
      <alignment wrapText="1"/>
      <protection hidden="1"/>
    </xf>
    <xf numFmtId="164" fontId="37" fillId="0" borderId="0" xfId="1" applyNumberFormat="1" applyFont="1" applyFill="1" applyBorder="1" applyProtection="1">
      <protection hidden="1"/>
    </xf>
    <xf numFmtId="164" fontId="38" fillId="2" borderId="0" xfId="1" applyNumberFormat="1" applyFont="1" applyBorder="1" applyProtection="1">
      <protection hidden="1"/>
    </xf>
    <xf numFmtId="164" fontId="39" fillId="3" borderId="0" xfId="2" applyNumberFormat="1" applyFont="1" applyBorder="1" applyProtection="1">
      <protection hidden="1"/>
    </xf>
    <xf numFmtId="0" fontId="36" fillId="8" borderId="0" xfId="0" applyFont="1" applyFill="1" applyAlignment="1">
      <alignment wrapText="1"/>
    </xf>
    <xf numFmtId="164" fontId="38" fillId="2" borderId="1" xfId="1" applyNumberFormat="1" applyFont="1" applyBorder="1" applyProtection="1">
      <protection hidden="1"/>
    </xf>
    <xf numFmtId="164" fontId="37" fillId="0" borderId="0" xfId="1" applyNumberFormat="1" applyFont="1" applyFill="1" applyBorder="1"/>
    <xf numFmtId="164" fontId="37" fillId="0" borderId="0" xfId="1" applyNumberFormat="1" applyFont="1" applyFill="1"/>
    <xf numFmtId="164" fontId="40" fillId="0" borderId="0" xfId="1" applyNumberFormat="1" applyFont="1" applyFill="1"/>
    <xf numFmtId="0" fontId="38" fillId="8" borderId="0" xfId="1" applyFont="1" applyFill="1"/>
    <xf numFmtId="164" fontId="38" fillId="2" borderId="0" xfId="1" applyNumberFormat="1" applyFont="1" applyBorder="1" applyAlignment="1" applyProtection="1">
      <protection hidden="1"/>
    </xf>
    <xf numFmtId="164" fontId="40" fillId="0" borderId="0" xfId="1" applyNumberFormat="1" applyFont="1" applyFill="1" applyBorder="1"/>
    <xf numFmtId="164" fontId="37" fillId="5" borderId="0" xfId="4" applyNumberFormat="1" applyFont="1" applyBorder="1" applyProtection="1">
      <protection hidden="1"/>
    </xf>
    <xf numFmtId="164" fontId="37" fillId="2" borderId="0" xfId="1" applyNumberFormat="1" applyFont="1" applyBorder="1" applyProtection="1">
      <protection hidden="1"/>
    </xf>
    <xf numFmtId="164" fontId="37" fillId="6" borderId="0" xfId="5" applyNumberFormat="1" applyFont="1" applyBorder="1" applyProtection="1">
      <protection hidden="1"/>
    </xf>
    <xf numFmtId="164" fontId="37" fillId="6" borderId="0" xfId="5" applyNumberFormat="1" applyFont="1" applyProtection="1">
      <protection hidden="1"/>
    </xf>
    <xf numFmtId="164" fontId="37" fillId="6" borderId="0" xfId="5" applyNumberFormat="1" applyFont="1" applyAlignment="1" applyProtection="1">
      <alignment wrapText="1"/>
      <protection hidden="1"/>
    </xf>
    <xf numFmtId="164" fontId="37" fillId="6" borderId="0" xfId="5" applyNumberFormat="1" applyFont="1"/>
    <xf numFmtId="164" fontId="37" fillId="2" borderId="0" xfId="1" applyNumberFormat="1" applyFont="1" applyProtection="1">
      <protection hidden="1"/>
    </xf>
    <xf numFmtId="164" fontId="37" fillId="2" borderId="0" xfId="1" quotePrefix="1" applyNumberFormat="1" applyFont="1" applyAlignment="1" applyProtection="1">
      <alignment wrapText="1"/>
      <protection hidden="1"/>
    </xf>
    <xf numFmtId="164" fontId="37" fillId="2" borderId="0" xfId="1" applyNumberFormat="1" applyFont="1"/>
    <xf numFmtId="164" fontId="37" fillId="5" borderId="0" xfId="4" applyNumberFormat="1" applyFont="1" applyProtection="1">
      <protection hidden="1"/>
    </xf>
    <xf numFmtId="164" fontId="37" fillId="5" borderId="24" xfId="4" applyNumberFormat="1" applyFont="1" applyBorder="1" applyProtection="1">
      <protection hidden="1"/>
    </xf>
    <xf numFmtId="164" fontId="37" fillId="5" borderId="0" xfId="4" quotePrefix="1" applyNumberFormat="1" applyFont="1" applyAlignment="1" applyProtection="1">
      <alignment wrapText="1"/>
      <protection hidden="1"/>
    </xf>
    <xf numFmtId="164" fontId="37" fillId="5" borderId="0" xfId="4" applyNumberFormat="1" applyFont="1"/>
    <xf numFmtId="164" fontId="37" fillId="5" borderId="25" xfId="4" applyNumberFormat="1" applyFont="1" applyBorder="1" applyProtection="1">
      <protection hidden="1"/>
    </xf>
    <xf numFmtId="164" fontId="37" fillId="5" borderId="0" xfId="4" applyNumberFormat="1" applyFont="1" applyAlignment="1" applyProtection="1">
      <alignment wrapText="1"/>
      <protection hidden="1"/>
    </xf>
    <xf numFmtId="164" fontId="37" fillId="5" borderId="26" xfId="4" applyNumberFormat="1" applyFont="1" applyBorder="1" applyProtection="1">
      <protection hidden="1"/>
    </xf>
    <xf numFmtId="0" fontId="35" fillId="0" borderId="0" xfId="0" applyNumberFormat="1" applyFont="1" applyAlignment="1">
      <alignment horizontal="centerContinuous" vertical="center"/>
    </xf>
    <xf numFmtId="0" fontId="36" fillId="0" borderId="0" xfId="0" applyNumberFormat="1" applyFont="1" applyAlignment="1">
      <alignment horizontal="center"/>
    </xf>
    <xf numFmtId="0" fontId="29" fillId="3" borderId="7" xfId="2" applyNumberFormat="1" applyFont="1" applyBorder="1" applyAlignment="1" applyProtection="1">
      <alignment horizontal="center" wrapText="1"/>
      <protection locked="0"/>
    </xf>
    <xf numFmtId="0" fontId="19" fillId="7" borderId="10" xfId="1" applyNumberFormat="1" applyFont="1" applyFill="1" applyBorder="1" applyAlignment="1" applyProtection="1">
      <alignment horizontal="center" wrapText="1"/>
      <protection locked="0"/>
    </xf>
    <xf numFmtId="0" fontId="28" fillId="7" borderId="11" xfId="1" applyNumberFormat="1" applyFont="1" applyFill="1" applyBorder="1" applyAlignment="1" applyProtection="1">
      <alignment horizontal="center" wrapText="1"/>
      <protection locked="0"/>
    </xf>
    <xf numFmtId="0" fontId="8" fillId="0" borderId="4" xfId="0" applyNumberFormat="1" applyFont="1" applyBorder="1" applyAlignment="1">
      <alignment horizontal="left"/>
    </xf>
    <xf numFmtId="0" fontId="36" fillId="0" borderId="7" xfId="0" applyNumberFormat="1" applyFont="1" applyBorder="1"/>
    <xf numFmtId="0" fontId="36" fillId="0" borderId="7" xfId="0" applyNumberFormat="1" applyFont="1" applyBorder="1" applyAlignment="1">
      <alignment horizontal="center"/>
    </xf>
    <xf numFmtId="0" fontId="10" fillId="0" borderId="7" xfId="0" applyNumberFormat="1" applyFont="1" applyBorder="1" applyAlignment="1">
      <alignment horizontal="center"/>
    </xf>
    <xf numFmtId="0" fontId="10" fillId="0" borderId="10"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Alignment="1">
      <alignment horizontal="center"/>
    </xf>
    <xf numFmtId="0" fontId="20" fillId="0" borderId="0" xfId="0" applyNumberFormat="1" applyFont="1" applyBorder="1" applyAlignment="1">
      <alignment horizontal="center"/>
    </xf>
    <xf numFmtId="0" fontId="6" fillId="0" borderId="23" xfId="0" applyNumberFormat="1" applyFont="1" applyBorder="1" applyAlignment="1">
      <alignment horizontal="center"/>
    </xf>
    <xf numFmtId="0" fontId="36" fillId="0" borderId="2" xfId="0" applyNumberFormat="1" applyFont="1" applyBorder="1" applyAlignment="1">
      <alignment horizontal="center"/>
    </xf>
    <xf numFmtId="0" fontId="6" fillId="0" borderId="5" xfId="0" applyNumberFormat="1" applyFont="1" applyBorder="1" applyAlignment="1">
      <alignment horizontal="center"/>
    </xf>
    <xf numFmtId="0" fontId="10" fillId="0" borderId="2" xfId="0" applyNumberFormat="1" applyFont="1" applyBorder="1" applyAlignment="1">
      <alignment horizontal="center"/>
    </xf>
    <xf numFmtId="164" fontId="36" fillId="0" borderId="0" xfId="0" applyNumberFormat="1" applyFont="1"/>
    <xf numFmtId="164" fontId="10" fillId="0" borderId="5" xfId="6" applyNumberFormat="1" applyFont="1" applyBorder="1"/>
    <xf numFmtId="164" fontId="6" fillId="0" borderId="5" xfId="6" applyNumberFormat="1" applyFont="1" applyBorder="1" applyAlignment="1">
      <alignment horizontal="center"/>
    </xf>
    <xf numFmtId="164" fontId="5" fillId="8" borderId="0" xfId="6" applyNumberFormat="1" applyFont="1" applyFill="1"/>
    <xf numFmtId="164" fontId="5" fillId="0" borderId="0" xfId="6" applyNumberFormat="1" applyFont="1"/>
    <xf numFmtId="164" fontId="36" fillId="0" borderId="0" xfId="7" applyNumberFormat="1" applyFont="1" applyBorder="1"/>
    <xf numFmtId="164" fontId="36" fillId="0" borderId="0" xfId="7" applyNumberFormat="1" applyFont="1"/>
    <xf numFmtId="164" fontId="36" fillId="0" borderId="0" xfId="0" applyNumberFormat="1" applyFont="1" applyFill="1"/>
    <xf numFmtId="164" fontId="36" fillId="0" borderId="0" xfId="0" applyNumberFormat="1" applyFont="1" applyAlignment="1">
      <alignment wrapText="1"/>
    </xf>
    <xf numFmtId="164" fontId="38" fillId="0" borderId="0" xfId="1" applyNumberFormat="1" applyFont="1" applyFill="1"/>
    <xf numFmtId="0" fontId="30" fillId="0" borderId="6" xfId="0" applyFont="1" applyBorder="1"/>
    <xf numFmtId="0" fontId="41" fillId="0" borderId="0" xfId="0" applyFont="1"/>
    <xf numFmtId="0" fontId="2" fillId="2" borderId="5" xfId="1" applyBorder="1"/>
    <xf numFmtId="44" fontId="2" fillId="2" borderId="5" xfId="1" applyNumberFormat="1" applyBorder="1"/>
    <xf numFmtId="0" fontId="2" fillId="2" borderId="3" xfId="1" applyBorder="1"/>
    <xf numFmtId="0" fontId="2" fillId="2" borderId="30" xfId="1" applyBorder="1"/>
    <xf numFmtId="44" fontId="2" fillId="2" borderId="30" xfId="1" applyNumberFormat="1" applyBorder="1"/>
    <xf numFmtId="0" fontId="2" fillId="2" borderId="4" xfId="1" applyBorder="1"/>
    <xf numFmtId="0" fontId="2" fillId="2" borderId="6" xfId="1" applyBorder="1"/>
    <xf numFmtId="0" fontId="2" fillId="2" borderId="7" xfId="1" applyBorder="1"/>
    <xf numFmtId="0" fontId="2" fillId="2" borderId="9" xfId="1" applyBorder="1"/>
    <xf numFmtId="0" fontId="2" fillId="2" borderId="31" xfId="1" applyBorder="1"/>
    <xf numFmtId="44" fontId="2" fillId="2" borderId="31" xfId="1" applyNumberFormat="1" applyBorder="1"/>
    <xf numFmtId="0" fontId="2" fillId="2" borderId="10" xfId="1" applyBorder="1"/>
    <xf numFmtId="0" fontId="42" fillId="0" borderId="2" xfId="0" applyFont="1" applyFill="1" applyBorder="1" applyAlignment="1">
      <alignment horizontal="center" wrapText="1"/>
    </xf>
    <xf numFmtId="0" fontId="42" fillId="0" borderId="0" xfId="0" applyNumberFormat="1" applyFont="1" applyAlignment="1">
      <alignment horizontal="center"/>
    </xf>
    <xf numFmtId="0" fontId="43" fillId="12" borderId="3" xfId="9" applyFont="1" applyBorder="1" applyAlignment="1">
      <alignment horizontal="center" wrapText="1"/>
    </xf>
    <xf numFmtId="0" fontId="43" fillId="12" borderId="4" xfId="9" applyNumberFormat="1" applyFont="1" applyBorder="1" applyAlignment="1">
      <alignment horizontal="center"/>
    </xf>
    <xf numFmtId="0" fontId="43" fillId="12" borderId="0" xfId="9" applyFont="1" applyAlignment="1">
      <alignment horizontal="center"/>
    </xf>
    <xf numFmtId="0" fontId="27" fillId="13" borderId="12" xfId="10" applyFont="1" applyBorder="1" applyAlignment="1">
      <alignment wrapText="1"/>
    </xf>
    <xf numFmtId="0" fontId="27" fillId="13" borderId="14" xfId="10" applyFont="1" applyBorder="1" applyAlignment="1">
      <alignment wrapText="1"/>
    </xf>
    <xf numFmtId="0" fontId="27" fillId="13" borderId="20" xfId="10" applyFont="1" applyBorder="1" applyAlignment="1">
      <alignment wrapText="1"/>
    </xf>
    <xf numFmtId="0" fontId="27" fillId="0" borderId="0" xfId="7" applyFont="1"/>
    <xf numFmtId="0" fontId="27" fillId="13" borderId="5" xfId="10" applyFont="1" applyBorder="1" applyAlignment="1">
      <alignment horizontal="left" vertical="center" wrapText="1" readingOrder="1"/>
    </xf>
    <xf numFmtId="0" fontId="27" fillId="13" borderId="27" xfId="10" applyFont="1" applyBorder="1" applyAlignment="1">
      <alignment horizontal="left" vertical="center" wrapText="1" readingOrder="1"/>
    </xf>
    <xf numFmtId="0" fontId="27" fillId="13" borderId="5" xfId="10" applyFont="1" applyBorder="1" applyAlignment="1">
      <alignment wrapText="1"/>
    </xf>
    <xf numFmtId="166" fontId="32" fillId="0" borderId="5" xfId="1" applyNumberFormat="1" applyFont="1" applyFill="1" applyBorder="1" applyAlignment="1">
      <alignment horizontal="center"/>
    </xf>
    <xf numFmtId="166" fontId="32" fillId="11" borderId="5" xfId="1" applyNumberFormat="1" applyFont="1" applyFill="1" applyBorder="1" applyAlignment="1">
      <alignment horizontal="center"/>
    </xf>
    <xf numFmtId="166" fontId="32" fillId="0" borderId="5" xfId="0" applyNumberFormat="1" applyFont="1" applyFill="1" applyBorder="1" applyAlignment="1">
      <alignment horizontal="center"/>
    </xf>
    <xf numFmtId="166" fontId="30" fillId="0" borderId="5" xfId="1" applyNumberFormat="1" applyFont="1" applyFill="1" applyBorder="1" applyAlignment="1">
      <alignment horizontal="center"/>
    </xf>
    <xf numFmtId="166" fontId="30" fillId="11" borderId="5" xfId="1" applyNumberFormat="1" applyFont="1" applyFill="1" applyBorder="1" applyAlignment="1">
      <alignment horizontal="center"/>
    </xf>
    <xf numFmtId="166" fontId="30" fillId="11" borderId="5" xfId="1" applyNumberFormat="1" applyFont="1" applyFill="1" applyBorder="1" applyAlignment="1">
      <alignment horizontal="center" wrapText="1"/>
    </xf>
    <xf numFmtId="166" fontId="32" fillId="11" borderId="1" xfId="1" applyNumberFormat="1" applyFont="1" applyFill="1" applyBorder="1" applyAlignment="1">
      <alignment horizontal="center"/>
    </xf>
    <xf numFmtId="166" fontId="32" fillId="0" borderId="5" xfId="0" applyNumberFormat="1" applyFont="1" applyBorder="1" applyAlignment="1">
      <alignment horizontal="center"/>
    </xf>
    <xf numFmtId="166" fontId="33" fillId="0" borderId="5" xfId="0" applyNumberFormat="1" applyFont="1" applyBorder="1" applyAlignment="1">
      <alignment horizontal="center"/>
    </xf>
    <xf numFmtId="166" fontId="32" fillId="0" borderId="17" xfId="0" applyNumberFormat="1" applyFont="1" applyBorder="1" applyAlignment="1">
      <alignment horizontal="center"/>
    </xf>
    <xf numFmtId="166" fontId="32" fillId="0" borderId="19" xfId="3" applyNumberFormat="1" applyFont="1" applyFill="1" applyBorder="1" applyAlignment="1">
      <alignment horizontal="center"/>
    </xf>
    <xf numFmtId="166" fontId="33" fillId="0" borderId="11" xfId="0" applyNumberFormat="1" applyFont="1" applyBorder="1" applyAlignment="1">
      <alignment horizontal="center"/>
    </xf>
    <xf numFmtId="166" fontId="19" fillId="7" borderId="7" xfId="0" applyNumberFormat="1" applyFont="1" applyFill="1" applyBorder="1" applyAlignment="1" applyProtection="1">
      <alignment horizontal="center" wrapText="1"/>
      <protection locked="0"/>
    </xf>
    <xf numFmtId="0" fontId="8" fillId="0" borderId="0" xfId="0" applyFont="1" applyAlignment="1">
      <alignment vertical="top"/>
    </xf>
    <xf numFmtId="0" fontId="44" fillId="0" borderId="0" xfId="0" applyFont="1"/>
    <xf numFmtId="0" fontId="19" fillId="7" borderId="7" xfId="1" applyNumberFormat="1" applyFont="1" applyFill="1" applyBorder="1" applyAlignment="1" applyProtection="1">
      <alignment horizontal="center" wrapText="1"/>
      <protection locked="0"/>
    </xf>
    <xf numFmtId="0" fontId="19" fillId="0" borderId="12" xfId="0" applyFont="1" applyBorder="1" applyAlignment="1">
      <alignment horizontal="right"/>
    </xf>
    <xf numFmtId="0" fontId="41" fillId="0" borderId="14" xfId="0" applyFont="1" applyBorder="1"/>
    <xf numFmtId="0" fontId="41" fillId="0" borderId="14" xfId="0" applyFont="1" applyFill="1" applyBorder="1"/>
    <xf numFmtId="0" fontId="41" fillId="0" borderId="14" xfId="0" applyFont="1" applyFill="1" applyBorder="1" applyAlignment="1">
      <alignment wrapText="1"/>
    </xf>
    <xf numFmtId="0" fontId="19" fillId="0" borderId="20" xfId="0" applyFont="1" applyBorder="1" applyAlignment="1">
      <alignment horizontal="right"/>
    </xf>
    <xf numFmtId="0" fontId="16" fillId="9" borderId="11" xfId="0" applyFont="1" applyFill="1" applyBorder="1" applyAlignment="1">
      <alignment wrapText="1"/>
    </xf>
    <xf numFmtId="0" fontId="30" fillId="0" borderId="13" xfId="1" applyFont="1" applyFill="1" applyBorder="1" applyAlignment="1">
      <alignment wrapText="1"/>
    </xf>
    <xf numFmtId="0" fontId="30" fillId="0" borderId="13" xfId="0" applyFont="1" applyFill="1" applyBorder="1" applyAlignment="1">
      <alignment wrapText="1"/>
    </xf>
    <xf numFmtId="0" fontId="19" fillId="0" borderId="14" xfId="0" applyFont="1" applyFill="1" applyBorder="1"/>
    <xf numFmtId="0" fontId="19" fillId="0" borderId="14" xfId="1" applyFont="1" applyFill="1" applyBorder="1"/>
    <xf numFmtId="0" fontId="30" fillId="0" borderId="15" xfId="1" applyFont="1" applyFill="1" applyBorder="1" applyAlignment="1">
      <alignment wrapText="1"/>
    </xf>
    <xf numFmtId="0" fontId="30" fillId="0" borderId="13" xfId="0" applyFont="1" applyBorder="1" applyAlignment="1">
      <alignment wrapText="1"/>
    </xf>
    <xf numFmtId="0" fontId="5" fillId="8" borderId="29" xfId="0" applyFont="1" applyFill="1" applyBorder="1" applyAlignment="1">
      <alignment horizontal="center"/>
    </xf>
    <xf numFmtId="0" fontId="0" fillId="8" borderId="17" xfId="0" applyFill="1" applyBorder="1" applyAlignment="1">
      <alignment horizontal="center"/>
    </xf>
    <xf numFmtId="0" fontId="0" fillId="8" borderId="17" xfId="0" applyFill="1" applyBorder="1" applyAlignment="1">
      <alignment horizontal="center" wrapText="1"/>
    </xf>
    <xf numFmtId="0" fontId="3" fillId="3" borderId="6" xfId="2" applyBorder="1" applyAlignment="1">
      <alignment wrapText="1"/>
    </xf>
    <xf numFmtId="0" fontId="3" fillId="3" borderId="7" xfId="2" applyNumberFormat="1" applyBorder="1" applyAlignment="1" applyProtection="1">
      <alignment horizontal="center" wrapText="1"/>
      <protection locked="0"/>
    </xf>
    <xf numFmtId="164" fontId="3" fillId="3" borderId="0" xfId="2" applyNumberFormat="1" applyBorder="1" applyAlignment="1" applyProtection="1">
      <alignment horizontal="center"/>
      <protection locked="0"/>
    </xf>
    <xf numFmtId="164" fontId="3" fillId="3" borderId="0" xfId="2" applyNumberFormat="1" applyAlignment="1" applyProtection="1">
      <alignment horizontal="center"/>
      <protection locked="0"/>
    </xf>
    <xf numFmtId="164" fontId="3" fillId="3" borderId="0" xfId="2" applyNumberFormat="1" applyBorder="1" applyAlignment="1" applyProtection="1">
      <protection locked="0"/>
    </xf>
    <xf numFmtId="164" fontId="3" fillId="3" borderId="5" xfId="2" applyNumberFormat="1" applyBorder="1" applyAlignment="1" applyProtection="1">
      <alignment horizontal="center"/>
      <protection locked="0"/>
    </xf>
    <xf numFmtId="164" fontId="3" fillId="3" borderId="5" xfId="2" applyNumberFormat="1" applyBorder="1" applyAlignment="1" applyProtection="1">
      <alignment horizontal="center" wrapText="1"/>
      <protection locked="0"/>
    </xf>
    <xf numFmtId="164" fontId="3" fillId="3" borderId="1" xfId="2" applyNumberFormat="1" applyBorder="1" applyAlignment="1" applyProtection="1">
      <alignment horizontal="center"/>
      <protection locked="0"/>
    </xf>
    <xf numFmtId="164" fontId="3" fillId="3" borderId="17" xfId="2" applyNumberFormat="1" applyBorder="1" applyAlignment="1" applyProtection="1">
      <alignment horizontal="center"/>
      <protection locked="0"/>
    </xf>
    <xf numFmtId="164" fontId="3" fillId="3" borderId="19" xfId="2" applyNumberFormat="1" applyBorder="1" applyAlignment="1" applyProtection="1">
      <alignment horizontal="center"/>
      <protection locked="0"/>
    </xf>
    <xf numFmtId="164" fontId="3" fillId="3" borderId="11" xfId="2" applyNumberFormat="1" applyBorder="1" applyAlignment="1" applyProtection="1">
      <alignment horizontal="center"/>
      <protection locked="0"/>
    </xf>
    <xf numFmtId="164" fontId="3" fillId="3" borderId="4" xfId="2" applyNumberFormat="1" applyBorder="1" applyAlignment="1" applyProtection="1">
      <alignment horizontal="left"/>
      <protection locked="0"/>
    </xf>
    <xf numFmtId="164" fontId="3" fillId="3" borderId="7" xfId="2" applyNumberFormat="1" applyBorder="1" applyProtection="1">
      <protection locked="0"/>
    </xf>
    <xf numFmtId="164" fontId="3" fillId="3" borderId="7" xfId="2" applyNumberFormat="1" applyBorder="1" applyAlignment="1" applyProtection="1">
      <alignment horizontal="center"/>
      <protection locked="0"/>
    </xf>
    <xf numFmtId="164" fontId="3" fillId="3" borderId="10" xfId="2" applyNumberFormat="1" applyBorder="1" applyAlignment="1" applyProtection="1">
      <alignment horizontal="center"/>
      <protection locked="0"/>
    </xf>
    <xf numFmtId="164" fontId="3" fillId="3" borderId="2" xfId="2" applyNumberFormat="1" applyBorder="1" applyAlignment="1" applyProtection="1">
      <alignment horizontal="center"/>
      <protection locked="0"/>
    </xf>
    <xf numFmtId="164" fontId="6" fillId="0" borderId="2" xfId="6" applyNumberFormat="1" applyFont="1" applyBorder="1" applyAlignment="1">
      <alignment horizontal="center"/>
    </xf>
    <xf numFmtId="165" fontId="6" fillId="0" borderId="21" xfId="0" applyNumberFormat="1" applyFont="1" applyBorder="1" applyAlignment="1">
      <alignment horizontal="center"/>
    </xf>
    <xf numFmtId="165" fontId="6" fillId="0" borderId="22" xfId="0" applyNumberFormat="1" applyFont="1" applyBorder="1" applyAlignment="1">
      <alignment horizontal="center"/>
    </xf>
  </cellXfs>
  <cellStyles count="11">
    <cellStyle name="20% - Accent1" xfId="4" builtinId="30"/>
    <cellStyle name="20% - Accent2" xfId="5" builtinId="34"/>
    <cellStyle name="20% - Accent3" xfId="10" builtinId="38"/>
    <cellStyle name="Accent3" xfId="9" builtinId="37"/>
    <cellStyle name="Bad" xfId="2" builtinId="27"/>
    <cellStyle name="Good" xfId="1" builtinId="26"/>
    <cellStyle name="Hyperlink" xfId="8" builtinId="8"/>
    <cellStyle name="Normal" xfId="0" builtinId="0"/>
    <cellStyle name="Normal 2" xfId="7" xr:uid="{00000000-0005-0000-0000-000005000000}"/>
    <cellStyle name="Normal 4" xfId="6" xr:uid="{00000000-0005-0000-0000-00000600000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15</xdr:row>
      <xdr:rowOff>171450</xdr:rowOff>
    </xdr:from>
    <xdr:to>
      <xdr:col>20</xdr:col>
      <xdr:colOff>1704969</xdr:colOff>
      <xdr:row>29</xdr:row>
      <xdr:rowOff>23812</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28576</xdr:colOff>
      <xdr:row>0</xdr:row>
      <xdr:rowOff>38100</xdr:rowOff>
    </xdr:from>
    <xdr:to>
      <xdr:col>0</xdr:col>
      <xdr:colOff>2219326</xdr:colOff>
      <xdr:row>4</xdr:row>
      <xdr:rowOff>0</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a:solidFill>
      </xdr:spPr>
    </xdr:sp>
    <xdr:clientData/>
  </xdr:twoCellAnchor>
  <mc:AlternateContent xmlns:mc="http://schemas.openxmlformats.org/markup-compatibility/2006">
    <mc:Choice xmlns:a14="http://schemas.microsoft.com/office/drawing/2010/main" Requires="a14">
      <xdr:twoCellAnchor>
        <xdr:from>
          <xdr:col>0</xdr:col>
          <xdr:colOff>28575</xdr:colOff>
          <xdr:row>0</xdr:row>
          <xdr:rowOff>38100</xdr:rowOff>
        </xdr:from>
        <xdr:to>
          <xdr:col>0</xdr:col>
          <xdr:colOff>1733550</xdr:colOff>
          <xdr:row>3</xdr:row>
          <xdr:rowOff>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00"/>
            </a:solidFill>
          </xdr:spPr>
        </xdr:sp>
        <xdr:clientData/>
      </xdr:twoCellAnchor>
    </mc:Choice>
    <mc:Fallback/>
  </mc:AlternateContent>
  <xdr:twoCellAnchor>
    <xdr:from>
      <xdr:col>0</xdr:col>
      <xdr:colOff>0</xdr:colOff>
      <xdr:row>15</xdr:row>
      <xdr:rowOff>88106</xdr:rowOff>
    </xdr:from>
    <xdr:to>
      <xdr:col>0</xdr:col>
      <xdr:colOff>2750344</xdr:colOff>
      <xdr:row>28</xdr:row>
      <xdr:rowOff>166688</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4862512"/>
          <a:ext cx="2750344" cy="4126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baseline="0">
              <a:solidFill>
                <a:srgbClr val="FF0000"/>
              </a:solidFill>
              <a:effectLst/>
              <a:latin typeface="+mn-lt"/>
              <a:ea typeface="+mn-ea"/>
              <a:cs typeface="+mn-cs"/>
            </a:rPr>
            <a:t>DISCLAIMER: </a:t>
          </a:r>
          <a:r>
            <a:rPr lang="en-US" sz="1600" b="1" i="0" baseline="0">
              <a:solidFill>
                <a:schemeClr val="dk1"/>
              </a:solidFill>
              <a:effectLst/>
              <a:latin typeface="+mn-lt"/>
              <a:ea typeface="+mn-ea"/>
              <a:cs typeface="+mn-cs"/>
            </a:rPr>
            <a:t>This worksheet is for the purpose of generating building permit estimates only and by no means guarantees that these costs are valid for your project. This estimator does not include Planning/Zoning; Grading; Demolition; Shoring; and Temporary Permit fees.</a:t>
          </a:r>
        </a:p>
        <a:p>
          <a:pPr marL="0" marR="0" lvl="0" indent="0" defTabSz="914400" eaLnBrk="1" fontAlgn="auto" latinLnBrk="0" hangingPunct="1">
            <a:lnSpc>
              <a:spcPct val="100000"/>
            </a:lnSpc>
            <a:spcBef>
              <a:spcPts val="0"/>
            </a:spcBef>
            <a:spcAft>
              <a:spcPts val="0"/>
            </a:spcAft>
            <a:buClrTx/>
            <a:buSzTx/>
            <a:buFontTx/>
            <a:buNone/>
            <a:tabLst/>
            <a:defRPr/>
          </a:pPr>
          <a:r>
            <a:rPr lang="en-US" sz="1600" b="1" i="0" baseline="0">
              <a:solidFill>
                <a:schemeClr val="dk1"/>
              </a:solidFill>
              <a:effectLst/>
              <a:latin typeface="+mn-lt"/>
              <a:ea typeface="+mn-ea"/>
              <a:cs typeface="+mn-cs"/>
            </a:rPr>
            <a:t>Applicability of other fees will be determined upon submittal or during the project review. Other agency fees may apply depending on the scope of the project.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Permitnfo@oaklandca.gov"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3"/>
  <sheetViews>
    <sheetView tabSelected="1" zoomScale="80" zoomScaleNormal="80" workbookViewId="0">
      <selection activeCell="X18" sqref="X18"/>
    </sheetView>
  </sheetViews>
  <sheetFormatPr defaultRowHeight="15.75" x14ac:dyDescent="0.25"/>
  <cols>
    <col min="1" max="1" width="42.140625" customWidth="1"/>
    <col min="2" max="2" width="3.85546875" customWidth="1"/>
    <col min="3" max="3" width="78.28515625" style="53" customWidth="1"/>
    <col min="4" max="4" width="17.85546875" style="116" customWidth="1"/>
    <col min="5" max="5" width="21.5703125" style="202" hidden="1" customWidth="1"/>
    <col min="6" max="6" width="24.140625" style="1" hidden="1" customWidth="1"/>
    <col min="7" max="7" width="14.140625" style="2" hidden="1" customWidth="1"/>
    <col min="8" max="8" width="32.28515625" style="3" hidden="1" customWidth="1"/>
    <col min="9" max="9" width="16.140625" style="4" hidden="1" customWidth="1"/>
    <col min="10" max="11" width="27.28515625" style="82" hidden="1" customWidth="1"/>
    <col min="12" max="12" width="2.5703125" style="82" hidden="1" customWidth="1"/>
    <col min="13" max="13" width="27.28515625" style="82" hidden="1" customWidth="1"/>
    <col min="14" max="18" width="27.28515625" style="132" hidden="1" customWidth="1"/>
    <col min="19" max="19" width="1.7109375" style="83" customWidth="1"/>
    <col min="20" max="20" width="56.85546875" style="143" customWidth="1"/>
    <col min="21" max="21" width="28.7109375" customWidth="1"/>
    <col min="22" max="22" width="15.140625" customWidth="1"/>
    <col min="23" max="23" width="12.85546875" customWidth="1"/>
    <col min="24" max="24" width="12.7109375" customWidth="1"/>
    <col min="25" max="25" width="13" customWidth="1"/>
  </cols>
  <sheetData>
    <row r="1" spans="1:20" ht="27" thickBot="1" x14ac:dyDescent="0.3">
      <c r="C1" s="60" t="s">
        <v>0</v>
      </c>
      <c r="D1" s="115"/>
      <c r="L1" s="47"/>
      <c r="M1" s="215" t="s">
        <v>1</v>
      </c>
      <c r="N1" s="215"/>
      <c r="O1" s="215"/>
      <c r="P1" s="215"/>
      <c r="Q1" s="215"/>
      <c r="S1" s="84"/>
    </row>
    <row r="2" spans="1:20" ht="19.5" thickBot="1" x14ac:dyDescent="0.35">
      <c r="C2" s="158" t="s">
        <v>2</v>
      </c>
      <c r="D2" s="159" t="s">
        <v>3</v>
      </c>
      <c r="E2" s="201" t="s">
        <v>4</v>
      </c>
      <c r="J2" s="32"/>
      <c r="K2" s="32"/>
      <c r="L2" s="47"/>
      <c r="M2" s="133" t="s">
        <v>5</v>
      </c>
      <c r="N2" s="134" t="s">
        <v>6</v>
      </c>
      <c r="O2" s="134" t="s">
        <v>7</v>
      </c>
      <c r="P2" s="134" t="s">
        <v>8</v>
      </c>
      <c r="Q2" s="134" t="s">
        <v>9</v>
      </c>
      <c r="S2" s="84"/>
      <c r="T2" s="160" t="s">
        <v>158</v>
      </c>
    </row>
    <row r="3" spans="1:20" ht="47.25" x14ac:dyDescent="0.25">
      <c r="C3" s="142" t="s">
        <v>157</v>
      </c>
      <c r="D3" s="59">
        <v>2</v>
      </c>
      <c r="E3" s="201"/>
      <c r="F3" s="2"/>
      <c r="J3" s="32"/>
      <c r="K3" s="32"/>
      <c r="L3" s="48">
        <v>0.57999999999999996</v>
      </c>
      <c r="M3" s="47" t="s">
        <v>10</v>
      </c>
      <c r="N3" s="135">
        <v>0</v>
      </c>
      <c r="O3" s="135">
        <v>0</v>
      </c>
      <c r="P3" s="135">
        <v>0</v>
      </c>
      <c r="Q3" s="135">
        <f>SUM(N3:P3)</f>
        <v>0</v>
      </c>
      <c r="S3" s="84"/>
      <c r="T3" s="161" t="s">
        <v>151</v>
      </c>
    </row>
    <row r="4" spans="1:20" ht="31.5" x14ac:dyDescent="0.25">
      <c r="A4" s="53" t="s">
        <v>196</v>
      </c>
      <c r="C4" s="68" t="s">
        <v>156</v>
      </c>
      <c r="D4" s="59" t="s">
        <v>191</v>
      </c>
      <c r="E4" s="201"/>
      <c r="F4" s="2"/>
      <c r="J4" s="32"/>
      <c r="K4" s="32"/>
      <c r="L4" s="47"/>
      <c r="M4" s="47" t="s">
        <v>11</v>
      </c>
      <c r="N4" s="136">
        <v>0</v>
      </c>
      <c r="O4" s="136">
        <v>0</v>
      </c>
      <c r="P4" s="136">
        <v>0</v>
      </c>
      <c r="Q4" s="135">
        <f t="shared" ref="Q4:Q15" si="0">SUM(N4:P4)</f>
        <v>0</v>
      </c>
      <c r="S4" s="84"/>
      <c r="T4" s="162" t="s">
        <v>175</v>
      </c>
    </row>
    <row r="5" spans="1:20" ht="36" x14ac:dyDescent="0.25">
      <c r="A5" s="53"/>
      <c r="C5" s="68" t="s">
        <v>176</v>
      </c>
      <c r="D5" s="59" t="s">
        <v>192</v>
      </c>
      <c r="E5" s="201"/>
      <c r="F5" s="2"/>
      <c r="H5" s="85"/>
      <c r="J5" s="32"/>
      <c r="K5" s="32"/>
      <c r="L5" s="47"/>
      <c r="M5" s="47" t="s">
        <v>12</v>
      </c>
      <c r="N5" s="135">
        <v>0</v>
      </c>
      <c r="O5" s="135">
        <v>0</v>
      </c>
      <c r="P5" s="135">
        <v>0</v>
      </c>
      <c r="Q5" s="135">
        <f t="shared" si="0"/>
        <v>0</v>
      </c>
      <c r="S5" s="84"/>
      <c r="T5" s="162" t="s">
        <v>152</v>
      </c>
    </row>
    <row r="6" spans="1:20" ht="18" x14ac:dyDescent="0.25">
      <c r="A6" s="6" t="s">
        <v>13</v>
      </c>
      <c r="C6" s="69" t="s">
        <v>159</v>
      </c>
      <c r="D6" s="180">
        <v>100</v>
      </c>
      <c r="E6" s="201"/>
      <c r="F6" s="2"/>
      <c r="G6" s="2" t="s">
        <v>14</v>
      </c>
      <c r="H6" s="86">
        <f>IF(D6&lt;=2000,260,IF(D6=2001,272,IF(D6&lt;25001,(INT((D6-2000)/500)*12.19)+272,IF(D6=25001,821,IF(D6&lt;50001,(INT((D6-25000)/1000)*13.39)+821)))))</f>
        <v>260</v>
      </c>
      <c r="I6" s="2" t="s">
        <v>15</v>
      </c>
      <c r="J6" s="32"/>
      <c r="K6" s="32"/>
      <c r="L6" s="47"/>
      <c r="M6" s="47" t="s">
        <v>16</v>
      </c>
      <c r="N6" s="136">
        <v>0</v>
      </c>
      <c r="O6" s="136">
        <v>0</v>
      </c>
      <c r="P6" s="136">
        <v>0</v>
      </c>
      <c r="Q6" s="135">
        <f t="shared" si="0"/>
        <v>0</v>
      </c>
      <c r="S6" s="84"/>
      <c r="T6" s="162" t="s">
        <v>177</v>
      </c>
    </row>
    <row r="7" spans="1:20" ht="18" x14ac:dyDescent="0.25">
      <c r="A7" s="6" t="s">
        <v>17</v>
      </c>
      <c r="B7" s="7"/>
      <c r="C7" s="68" t="s">
        <v>18</v>
      </c>
      <c r="D7" s="59">
        <v>1</v>
      </c>
      <c r="E7" s="201"/>
      <c r="F7" s="2"/>
      <c r="I7" s="1"/>
      <c r="J7" s="32"/>
      <c r="K7" s="32"/>
      <c r="L7" s="47"/>
      <c r="M7" s="47" t="s">
        <v>19</v>
      </c>
      <c r="N7" s="136">
        <v>0</v>
      </c>
      <c r="O7" s="136">
        <v>0</v>
      </c>
      <c r="P7" s="136">
        <v>0</v>
      </c>
      <c r="Q7" s="135">
        <f t="shared" si="0"/>
        <v>0</v>
      </c>
      <c r="S7" s="84"/>
      <c r="T7" s="162" t="s">
        <v>153</v>
      </c>
    </row>
    <row r="8" spans="1:20" ht="18" x14ac:dyDescent="0.25">
      <c r="A8" s="6" t="s">
        <v>20</v>
      </c>
      <c r="B8" s="8"/>
      <c r="C8" s="68" t="s">
        <v>195</v>
      </c>
      <c r="D8" s="59" t="s">
        <v>191</v>
      </c>
      <c r="E8" s="201"/>
      <c r="F8" s="2"/>
      <c r="H8" s="33"/>
      <c r="I8" s="1"/>
      <c r="J8" s="32"/>
      <c r="K8" s="32"/>
      <c r="L8" s="47"/>
      <c r="M8" s="47" t="s">
        <v>21</v>
      </c>
      <c r="N8" s="136">
        <v>0</v>
      </c>
      <c r="O8" s="136">
        <v>0</v>
      </c>
      <c r="P8" s="136">
        <v>0</v>
      </c>
      <c r="Q8" s="135">
        <f t="shared" si="0"/>
        <v>0</v>
      </c>
      <c r="S8" s="84"/>
      <c r="T8" s="162" t="s">
        <v>154</v>
      </c>
    </row>
    <row r="9" spans="1:20" ht="18" x14ac:dyDescent="0.25">
      <c r="A9" s="6" t="s">
        <v>22</v>
      </c>
      <c r="B9" s="8"/>
      <c r="C9" s="70" t="s">
        <v>139</v>
      </c>
      <c r="D9" s="59">
        <v>3</v>
      </c>
      <c r="E9" s="203"/>
      <c r="F9" s="2"/>
      <c r="H9" s="33"/>
      <c r="I9" s="1"/>
      <c r="J9" s="32"/>
      <c r="K9" s="32"/>
      <c r="L9" s="47"/>
      <c r="M9" s="47" t="s">
        <v>23</v>
      </c>
      <c r="N9" s="135">
        <v>0</v>
      </c>
      <c r="O9" s="135">
        <v>0</v>
      </c>
      <c r="P9" s="135">
        <v>0</v>
      </c>
      <c r="Q9" s="135">
        <f t="shared" si="0"/>
        <v>0</v>
      </c>
      <c r="S9" s="84"/>
      <c r="T9" s="162" t="s">
        <v>161</v>
      </c>
    </row>
    <row r="10" spans="1:20" ht="54" x14ac:dyDescent="0.25">
      <c r="A10" s="181" t="s">
        <v>24</v>
      </c>
      <c r="B10" s="8"/>
      <c r="C10" s="70" t="s">
        <v>143</v>
      </c>
      <c r="D10" s="59"/>
      <c r="E10" s="201"/>
      <c r="F10" s="2"/>
      <c r="H10" s="33"/>
      <c r="I10" s="1"/>
      <c r="J10" s="32"/>
      <c r="K10" s="32"/>
      <c r="L10" s="47"/>
      <c r="M10" s="47" t="s">
        <v>25</v>
      </c>
      <c r="N10" s="135">
        <v>0</v>
      </c>
      <c r="O10" s="135">
        <v>0</v>
      </c>
      <c r="P10" s="135">
        <v>0</v>
      </c>
      <c r="Q10" s="135">
        <f t="shared" si="0"/>
        <v>0</v>
      </c>
      <c r="S10" s="84"/>
      <c r="T10" s="162"/>
    </row>
    <row r="11" spans="1:20" ht="18" x14ac:dyDescent="0.25">
      <c r="A11" s="6"/>
      <c r="B11" s="8"/>
      <c r="C11" s="70" t="s">
        <v>26</v>
      </c>
      <c r="D11" s="59" t="s">
        <v>194</v>
      </c>
      <c r="E11" s="201"/>
      <c r="F11" s="2"/>
      <c r="H11" s="33"/>
      <c r="I11" s="1"/>
      <c r="J11" s="32"/>
      <c r="K11" s="32"/>
      <c r="L11" s="47"/>
      <c r="M11" s="47" t="s">
        <v>27</v>
      </c>
      <c r="N11" s="136">
        <v>0</v>
      </c>
      <c r="O11" s="136">
        <v>0</v>
      </c>
      <c r="P11" s="136">
        <v>0</v>
      </c>
      <c r="Q11" s="135">
        <f t="shared" si="0"/>
        <v>0</v>
      </c>
      <c r="S11" s="84"/>
      <c r="T11" s="162" t="s">
        <v>165</v>
      </c>
    </row>
    <row r="12" spans="1:20" ht="18" x14ac:dyDescent="0.25">
      <c r="A12" s="6" t="s">
        <v>28</v>
      </c>
      <c r="B12" s="8"/>
      <c r="C12" s="70" t="s">
        <v>142</v>
      </c>
      <c r="D12" s="117">
        <v>0</v>
      </c>
      <c r="E12" s="201"/>
      <c r="F12" s="2"/>
      <c r="H12" s="33"/>
      <c r="I12" s="1"/>
      <c r="J12" s="32"/>
      <c r="K12" s="32"/>
      <c r="L12" s="47"/>
      <c r="M12" s="47" t="s">
        <v>29</v>
      </c>
      <c r="N12" s="136">
        <v>0</v>
      </c>
      <c r="O12" s="136">
        <v>0</v>
      </c>
      <c r="P12" s="136">
        <v>0</v>
      </c>
      <c r="Q12" s="135">
        <f t="shared" si="0"/>
        <v>0</v>
      </c>
      <c r="S12" s="84"/>
      <c r="T12" s="162" t="s">
        <v>162</v>
      </c>
    </row>
    <row r="13" spans="1:20" ht="18" x14ac:dyDescent="0.25">
      <c r="A13" s="9" t="s">
        <v>30</v>
      </c>
      <c r="B13" s="8"/>
      <c r="C13" s="70" t="s">
        <v>140</v>
      </c>
      <c r="D13" s="59">
        <v>0</v>
      </c>
      <c r="E13" s="201"/>
      <c r="F13" s="2"/>
      <c r="H13" s="33"/>
      <c r="I13" s="1"/>
      <c r="J13" s="32"/>
      <c r="K13" s="32"/>
      <c r="L13" s="47"/>
      <c r="M13" s="47" t="s">
        <v>31</v>
      </c>
      <c r="N13" s="136">
        <v>0</v>
      </c>
      <c r="O13" s="136">
        <v>0</v>
      </c>
      <c r="P13" s="136">
        <v>0</v>
      </c>
      <c r="Q13" s="135">
        <f t="shared" si="0"/>
        <v>0</v>
      </c>
      <c r="S13" s="84"/>
      <c r="T13" s="162"/>
    </row>
    <row r="14" spans="1:20" ht="18" x14ac:dyDescent="0.25">
      <c r="A14" s="6" t="s">
        <v>32</v>
      </c>
      <c r="C14" s="71" t="s">
        <v>33</v>
      </c>
      <c r="D14" s="59">
        <v>3</v>
      </c>
      <c r="E14" s="201"/>
      <c r="F14" s="2"/>
      <c r="H14" s="34"/>
      <c r="I14" s="1"/>
      <c r="J14" s="32"/>
      <c r="K14" s="32"/>
      <c r="L14" s="47"/>
      <c r="M14" s="47" t="s">
        <v>34</v>
      </c>
      <c r="N14" s="137">
        <v>0</v>
      </c>
      <c r="O14" s="138">
        <v>0</v>
      </c>
      <c r="P14" s="137">
        <v>0</v>
      </c>
      <c r="Q14" s="135">
        <f t="shared" si="0"/>
        <v>0</v>
      </c>
      <c r="S14" s="84"/>
      <c r="T14" s="162"/>
    </row>
    <row r="15" spans="1:20" ht="18" x14ac:dyDescent="0.25">
      <c r="A15" s="58" t="s">
        <v>138</v>
      </c>
      <c r="B15" s="10"/>
      <c r="C15" s="68" t="s">
        <v>35</v>
      </c>
      <c r="D15" s="59" t="s">
        <v>36</v>
      </c>
      <c r="E15" s="201"/>
      <c r="F15" s="2"/>
      <c r="I15" s="1"/>
      <c r="J15" s="32"/>
      <c r="K15" s="32"/>
      <c r="L15" s="47"/>
      <c r="M15" s="47" t="s">
        <v>37</v>
      </c>
      <c r="N15" s="136">
        <v>0</v>
      </c>
      <c r="O15" s="136">
        <v>0</v>
      </c>
      <c r="P15" s="136">
        <v>0</v>
      </c>
      <c r="Q15" s="135">
        <f t="shared" si="0"/>
        <v>0</v>
      </c>
      <c r="S15" s="84"/>
      <c r="T15" s="162" t="s">
        <v>155</v>
      </c>
    </row>
    <row r="16" spans="1:20" ht="31.5" x14ac:dyDescent="0.25">
      <c r="B16" s="11"/>
      <c r="C16" s="68" t="s">
        <v>166</v>
      </c>
      <c r="D16" s="117">
        <v>0</v>
      </c>
      <c r="E16" s="201"/>
      <c r="F16" s="2">
        <f>IF(D16&gt;0,D16*4.08,0)</f>
        <v>0</v>
      </c>
      <c r="G16" s="2" t="s">
        <v>14</v>
      </c>
      <c r="H16" s="86">
        <f>IF(D6&lt;=50000,0,IF(D6=50001,1199,IF(D6&lt;100001,(INT((D6-50000)/1000)*9.73)+1199,IF(D6=100001,1662,IF(D6&lt;250001,(INT((D6-100000)/1000)*9.73)+1662,IF(D6=250001,3128,(INT((D6-250000)/1000)*6.22)+3128))))))</f>
        <v>0</v>
      </c>
      <c r="I16" s="2" t="s">
        <v>38</v>
      </c>
      <c r="J16" s="49"/>
      <c r="K16" s="32"/>
      <c r="S16" s="84"/>
      <c r="T16" s="162" t="s">
        <v>167</v>
      </c>
    </row>
    <row r="17" spans="1:25" ht="18" x14ac:dyDescent="0.25">
      <c r="A17" s="13"/>
      <c r="C17" s="68" t="s">
        <v>39</v>
      </c>
      <c r="D17" s="117">
        <v>0</v>
      </c>
      <c r="E17" s="201"/>
      <c r="F17" s="2">
        <f>IF(D17&gt;0,D17*0.66,0)</f>
        <v>0</v>
      </c>
      <c r="G17" s="2" t="s">
        <v>14</v>
      </c>
      <c r="H17" s="87">
        <f>H6+H16</f>
        <v>260</v>
      </c>
      <c r="I17" s="35" t="s">
        <v>40</v>
      </c>
      <c r="J17" s="32"/>
      <c r="K17" s="32"/>
      <c r="L17" s="32"/>
      <c r="M17" s="32"/>
      <c r="N17" s="5"/>
      <c r="S17" s="84"/>
      <c r="T17" s="162"/>
    </row>
    <row r="18" spans="1:25" ht="18" x14ac:dyDescent="0.25">
      <c r="A18" s="12"/>
      <c r="C18" s="68" t="s">
        <v>41</v>
      </c>
      <c r="D18" s="59">
        <v>0</v>
      </c>
      <c r="E18" s="201"/>
      <c r="F18" s="2">
        <f>IF(D18&gt;0,D18*0.66,0)</f>
        <v>0</v>
      </c>
      <c r="H18" s="36"/>
      <c r="I18" s="35"/>
      <c r="J18" s="32"/>
      <c r="K18" s="32"/>
      <c r="L18" s="32"/>
      <c r="M18" s="32"/>
      <c r="N18" s="5"/>
      <c r="S18" s="84"/>
      <c r="T18" s="162"/>
    </row>
    <row r="19" spans="1:25" ht="18" x14ac:dyDescent="0.25">
      <c r="A19" s="12"/>
      <c r="C19" s="68" t="s">
        <v>42</v>
      </c>
      <c r="D19" s="59">
        <v>0</v>
      </c>
      <c r="E19" s="201"/>
      <c r="F19" s="2">
        <f>IF(D7&lt;=3,G19,G20)</f>
        <v>0.5</v>
      </c>
      <c r="G19" s="2">
        <f>IF(H19&lt;0.5,0.5,H19)</f>
        <v>0.5</v>
      </c>
      <c r="H19" s="36">
        <f>D6 * 0.00013</f>
        <v>1.2999999999999999E-2</v>
      </c>
      <c r="I19" s="35" t="s">
        <v>43</v>
      </c>
      <c r="J19" s="32"/>
      <c r="K19" s="32"/>
      <c r="L19" s="32"/>
      <c r="M19" s="32"/>
      <c r="N19" s="5"/>
      <c r="S19" s="84"/>
      <c r="T19" s="162"/>
    </row>
    <row r="20" spans="1:25" ht="18" x14ac:dyDescent="0.25">
      <c r="C20" s="68" t="s">
        <v>44</v>
      </c>
      <c r="D20" s="59">
        <v>0</v>
      </c>
      <c r="E20" s="201"/>
      <c r="F20" s="37">
        <f>IF(D15="Y",G20,F19)</f>
        <v>0.5</v>
      </c>
      <c r="G20" s="2">
        <f>IF(H20&lt;0.5,0.5,H20)</f>
        <v>0.5</v>
      </c>
      <c r="H20" s="36">
        <f>D6*0.00028</f>
        <v>2.7999999999999997E-2</v>
      </c>
      <c r="I20" s="35" t="s">
        <v>45</v>
      </c>
      <c r="J20" s="32"/>
      <c r="K20" s="32"/>
      <c r="L20" s="32"/>
      <c r="M20" s="32"/>
      <c r="N20" s="5"/>
      <c r="S20" s="84"/>
      <c r="T20" s="162"/>
    </row>
    <row r="21" spans="1:25" ht="18" x14ac:dyDescent="0.25">
      <c r="C21" s="72" t="s">
        <v>46</v>
      </c>
      <c r="D21" s="59">
        <v>0</v>
      </c>
      <c r="E21" s="201"/>
      <c r="F21" s="2"/>
      <c r="H21" s="36"/>
      <c r="I21" s="35"/>
      <c r="J21" s="32"/>
      <c r="K21" s="32"/>
      <c r="L21" s="32"/>
      <c r="M21" s="32"/>
      <c r="N21" s="5"/>
      <c r="S21" s="84"/>
      <c r="T21" s="162"/>
    </row>
    <row r="22" spans="1:25" ht="30" hidden="1" x14ac:dyDescent="0.25">
      <c r="C22" s="199" t="s">
        <v>47</v>
      </c>
      <c r="D22" s="200">
        <v>0</v>
      </c>
      <c r="E22" s="201"/>
      <c r="F22" s="2"/>
      <c r="H22" s="36"/>
      <c r="I22" s="35"/>
      <c r="J22" s="32"/>
      <c r="K22" s="32"/>
      <c r="L22" s="32"/>
      <c r="M22" s="32"/>
      <c r="N22" s="5"/>
      <c r="S22" s="84"/>
      <c r="T22" s="162"/>
    </row>
    <row r="23" spans="1:25" ht="31.5" x14ac:dyDescent="0.25">
      <c r="C23" s="73" t="s">
        <v>160</v>
      </c>
      <c r="D23" s="183">
        <v>0</v>
      </c>
      <c r="E23" s="201"/>
      <c r="F23" s="2"/>
      <c r="H23" s="36"/>
      <c r="I23" s="35"/>
      <c r="J23" s="32"/>
      <c r="K23" s="32"/>
      <c r="L23" s="32"/>
      <c r="M23" s="32"/>
      <c r="N23" s="5"/>
      <c r="S23" s="84"/>
      <c r="T23" s="162" t="s">
        <v>168</v>
      </c>
    </row>
    <row r="24" spans="1:25" ht="36.75" thickBot="1" x14ac:dyDescent="0.3">
      <c r="C24" s="74" t="s">
        <v>144</v>
      </c>
      <c r="D24" s="118">
        <v>0</v>
      </c>
      <c r="E24" s="201"/>
      <c r="F24" s="2"/>
      <c r="H24" s="36"/>
      <c r="I24" s="35"/>
      <c r="J24" s="32"/>
      <c r="K24" s="32"/>
      <c r="L24" s="32"/>
      <c r="M24" s="32"/>
      <c r="N24" s="5"/>
      <c r="S24" s="84"/>
      <c r="T24" s="162"/>
    </row>
    <row r="25" spans="1:25" ht="32.25" thickBot="1" x14ac:dyDescent="0.3">
      <c r="C25" s="189" t="s">
        <v>141</v>
      </c>
      <c r="D25" s="119">
        <v>0</v>
      </c>
      <c r="E25" s="201"/>
      <c r="F25" s="2"/>
      <c r="H25" s="36"/>
      <c r="I25" s="35"/>
      <c r="J25" s="32"/>
      <c r="K25" s="32"/>
      <c r="L25" s="32"/>
      <c r="M25" s="32"/>
      <c r="N25" s="5"/>
      <c r="S25" s="84"/>
      <c r="T25" s="163" t="s">
        <v>169</v>
      </c>
    </row>
    <row r="26" spans="1:25" ht="18.75" thickBot="1" x14ac:dyDescent="0.3">
      <c r="C26" s="156" t="s">
        <v>48</v>
      </c>
      <c r="D26" s="157" t="s">
        <v>49</v>
      </c>
      <c r="F26" s="38"/>
      <c r="G26" s="38"/>
      <c r="H26" s="36"/>
      <c r="I26" s="35"/>
      <c r="J26" s="32"/>
      <c r="K26" s="32"/>
      <c r="L26" s="32"/>
      <c r="M26" s="32"/>
      <c r="N26" s="5"/>
      <c r="S26" s="84"/>
      <c r="T26" s="164"/>
    </row>
    <row r="27" spans="1:25" ht="60.75" thickBot="1" x14ac:dyDescent="0.3">
      <c r="A27" s="29"/>
      <c r="B27" s="184">
        <v>1</v>
      </c>
      <c r="C27" s="190" t="s">
        <v>117</v>
      </c>
      <c r="D27" s="171">
        <f t="shared" ref="D27:D32" si="1">F27</f>
        <v>195</v>
      </c>
      <c r="E27" s="204" t="str">
        <f>IF(D22=1,0,IF(D22=2,0,IF(D22=3,0,IF(D22=4,D27,IF(D22=5,D27," ")))))</f>
        <v xml:space="preserve"> </v>
      </c>
      <c r="F27" s="88">
        <f>IF(D3=1,H17,IF(D3=2,H29,IF(D3=3,H29," ")))</f>
        <v>195</v>
      </c>
      <c r="G27" s="2" t="s">
        <v>14</v>
      </c>
      <c r="H27" s="86">
        <f>IF(D6&lt;=2000,195,IF(D6=2001,206,IF(D6&lt;25001,(INT((D6-2000)/500)*11.36)+206,IF(D6=25001,739,IF(D6&lt;50001,(INT((D6-25000)/1000)*10.81)+739)))))</f>
        <v>195</v>
      </c>
      <c r="I27" s="2" t="s">
        <v>50</v>
      </c>
      <c r="J27" s="32"/>
      <c r="K27" s="32"/>
      <c r="L27" s="32"/>
      <c r="M27" s="32"/>
      <c r="N27" s="5"/>
      <c r="S27" s="84"/>
      <c r="T27" s="165" t="s">
        <v>145</v>
      </c>
      <c r="U27" s="196" t="s">
        <v>170</v>
      </c>
      <c r="V27" s="197" t="s">
        <v>164</v>
      </c>
      <c r="W27" s="197" t="s">
        <v>99</v>
      </c>
      <c r="X27" s="197" t="s">
        <v>100</v>
      </c>
      <c r="Y27" s="198" t="s">
        <v>101</v>
      </c>
    </row>
    <row r="28" spans="1:25" ht="18" x14ac:dyDescent="0.25">
      <c r="A28" s="182"/>
      <c r="B28" s="185">
        <v>2</v>
      </c>
      <c r="C28" s="190" t="s">
        <v>118</v>
      </c>
      <c r="D28" s="168" t="str">
        <f t="shared" si="1"/>
        <v xml:space="preserve"> </v>
      </c>
      <c r="E28" s="204" t="str">
        <f>IF(D22=1,0,IF(D22=2,0,IF(D22=3,D28,IF(D22=4,D28,IF(D22=5,D28," ")))))</f>
        <v xml:space="preserve"> </v>
      </c>
      <c r="F28" s="88" t="str">
        <f>IF(D23= 1,F27*1.25," ")</f>
        <v xml:space="preserve"> </v>
      </c>
      <c r="G28" s="2" t="s">
        <v>14</v>
      </c>
      <c r="H28" s="86">
        <f>IF(D6&lt;=50000,0,IF(D6=50001,1020,IF(D6&lt;200001,(INT((D6-50000)/1000)*10)+1020,IF(D6=200001,2528,(INT((D6-200000)/1000)*8.65)+2528))))</f>
        <v>0</v>
      </c>
      <c r="I28" s="2" t="s">
        <v>51</v>
      </c>
      <c r="J28" s="32"/>
      <c r="K28" s="32"/>
      <c r="L28" s="32"/>
      <c r="M28" s="32"/>
      <c r="N28" s="5"/>
      <c r="S28" s="84"/>
      <c r="T28" s="166" t="s">
        <v>108</v>
      </c>
      <c r="U28" s="146" t="s">
        <v>97</v>
      </c>
      <c r="V28" s="147" t="s">
        <v>98</v>
      </c>
      <c r="W28" s="148">
        <v>260</v>
      </c>
      <c r="X28" s="148"/>
      <c r="Y28" s="149"/>
    </row>
    <row r="29" spans="1:25" s="14" customFormat="1" ht="47.25" x14ac:dyDescent="0.25">
      <c r="B29" s="186">
        <v>3</v>
      </c>
      <c r="C29" s="190" t="s">
        <v>119</v>
      </c>
      <c r="D29" s="169" t="str">
        <f t="shared" si="1"/>
        <v xml:space="preserve"> </v>
      </c>
      <c r="E29" s="204" t="str">
        <f>IF(D22=1,0,IF(D22=2,0,IF(D22=3,D29,IF(D22=4,D29,IF(D22=5,D29," ")))))</f>
        <v xml:space="preserve"> </v>
      </c>
      <c r="F29" s="88" t="str">
        <f>IF(D23=2,G30,IF(D23 =  3,H30," "))</f>
        <v xml:space="preserve"> </v>
      </c>
      <c r="G29" s="2" t="s">
        <v>14</v>
      </c>
      <c r="H29" s="87">
        <f>H27+H28</f>
        <v>195</v>
      </c>
      <c r="I29" s="35" t="s">
        <v>52</v>
      </c>
      <c r="J29" s="39"/>
      <c r="K29" s="39"/>
      <c r="L29" s="39"/>
      <c r="M29" s="39"/>
      <c r="N29" s="15"/>
      <c r="O29" s="139"/>
      <c r="P29" s="139"/>
      <c r="Q29" s="139"/>
      <c r="R29" s="139"/>
      <c r="S29" s="84"/>
      <c r="T29" s="166" t="s">
        <v>178</v>
      </c>
      <c r="U29" s="150"/>
      <c r="V29" s="144" t="s">
        <v>102</v>
      </c>
      <c r="W29" s="145">
        <v>272</v>
      </c>
      <c r="X29" s="145">
        <v>12.19</v>
      </c>
      <c r="Y29" s="151" t="s">
        <v>103</v>
      </c>
    </row>
    <row r="30" spans="1:25" s="14" customFormat="1" ht="18" x14ac:dyDescent="0.25">
      <c r="B30" s="186">
        <v>4</v>
      </c>
      <c r="C30" s="190" t="s">
        <v>120</v>
      </c>
      <c r="D30" s="168">
        <f t="shared" si="1"/>
        <v>0.6</v>
      </c>
      <c r="E30" s="204"/>
      <c r="F30" s="89">
        <f>IF(D6&gt;0,D6*0.006," ")</f>
        <v>0.6</v>
      </c>
      <c r="G30" s="89">
        <f>135</f>
        <v>135</v>
      </c>
      <c r="H30" s="86">
        <f>91</f>
        <v>91</v>
      </c>
      <c r="I30" s="35"/>
      <c r="J30" s="39"/>
      <c r="K30" s="39"/>
      <c r="L30" s="39"/>
      <c r="M30" s="39"/>
      <c r="N30" s="15"/>
      <c r="O30" s="139"/>
      <c r="P30" s="139"/>
      <c r="Q30" s="139"/>
      <c r="R30" s="139"/>
      <c r="S30" s="84"/>
      <c r="T30" s="166" t="s">
        <v>179</v>
      </c>
      <c r="U30" s="150"/>
      <c r="V30" s="144" t="s">
        <v>146</v>
      </c>
      <c r="W30" s="145">
        <v>821</v>
      </c>
      <c r="X30" s="145">
        <v>13.39</v>
      </c>
      <c r="Y30" s="151" t="s">
        <v>104</v>
      </c>
    </row>
    <row r="31" spans="1:25" s="14" customFormat="1" ht="47.25" x14ac:dyDescent="0.25">
      <c r="B31" s="186">
        <v>5</v>
      </c>
      <c r="C31" s="191" t="s">
        <v>121</v>
      </c>
      <c r="D31" s="170">
        <f t="shared" si="1"/>
        <v>0.5</v>
      </c>
      <c r="E31" s="204"/>
      <c r="F31" s="89">
        <f>IF(D6&gt;0,G31," ")</f>
        <v>0.5</v>
      </c>
      <c r="G31" s="89">
        <f>IF(D14=1,G20,IF(D14=2,F20,IF(D14=3,F20,G20)))</f>
        <v>0.5</v>
      </c>
      <c r="H31" s="86">
        <f>IF(D6&gt;25000,265,0)</f>
        <v>0</v>
      </c>
      <c r="I31" s="35" t="s">
        <v>53</v>
      </c>
      <c r="J31" s="39"/>
      <c r="K31" s="39"/>
      <c r="L31" s="39"/>
      <c r="M31" s="39"/>
      <c r="N31" s="15"/>
      <c r="O31" s="139"/>
      <c r="P31" s="139"/>
      <c r="Q31" s="139"/>
      <c r="R31" s="139"/>
      <c r="S31" s="84"/>
      <c r="T31" s="166" t="s">
        <v>137</v>
      </c>
      <c r="U31" s="150"/>
      <c r="V31" s="144" t="s">
        <v>147</v>
      </c>
      <c r="W31" s="145">
        <v>1199</v>
      </c>
      <c r="X31" s="145">
        <v>9.73</v>
      </c>
      <c r="Y31" s="151" t="s">
        <v>104</v>
      </c>
    </row>
    <row r="32" spans="1:25" s="14" customFormat="1" ht="18" x14ac:dyDescent="0.25">
      <c r="B32" s="186">
        <v>6</v>
      </c>
      <c r="C32" s="190" t="s">
        <v>122</v>
      </c>
      <c r="D32" s="168" t="str">
        <f t="shared" si="1"/>
        <v xml:space="preserve"> </v>
      </c>
      <c r="E32" s="204"/>
      <c r="F32" s="89" t="str">
        <f>IF(D6&gt;=500000,F27*0.03," ")</f>
        <v xml:space="preserve"> </v>
      </c>
      <c r="G32" s="88"/>
      <c r="H32" s="36"/>
      <c r="I32" s="35"/>
      <c r="J32" s="39"/>
      <c r="K32" s="39"/>
      <c r="L32" s="39"/>
      <c r="M32" s="39"/>
      <c r="N32" s="15"/>
      <c r="O32" s="139"/>
      <c r="P32" s="139"/>
      <c r="Q32" s="139"/>
      <c r="R32" s="139"/>
      <c r="S32" s="84"/>
      <c r="T32" s="166" t="s">
        <v>109</v>
      </c>
      <c r="U32" s="150"/>
      <c r="V32" s="144" t="s">
        <v>148</v>
      </c>
      <c r="W32" s="145">
        <v>1662</v>
      </c>
      <c r="X32" s="145">
        <v>9.73</v>
      </c>
      <c r="Y32" s="151" t="s">
        <v>104</v>
      </c>
    </row>
    <row r="33" spans="1:25" s="14" customFormat="1" ht="31.5" x14ac:dyDescent="0.25">
      <c r="B33" s="186">
        <v>7</v>
      </c>
      <c r="C33" s="190" t="s">
        <v>123</v>
      </c>
      <c r="D33" s="171">
        <f>IF(D5="Y",F33,"")</f>
        <v>0</v>
      </c>
      <c r="E33" s="204"/>
      <c r="F33" s="89">
        <f>IF(D3=1,G33,IF(D3=2,H31,IF(D3=3,H31," ")))</f>
        <v>0</v>
      </c>
      <c r="G33" s="90">
        <f>IF(H33&gt;17640,17640,H33)</f>
        <v>265</v>
      </c>
      <c r="H33" s="86">
        <f>IF(D6&lt;=300000,265,IF(D6&gt;300000,(INT((D6-300000)/100000)*265)+265))</f>
        <v>265</v>
      </c>
      <c r="I33" s="50" t="s">
        <v>96</v>
      </c>
      <c r="J33" s="39"/>
      <c r="K33" s="39"/>
      <c r="L33" s="39"/>
      <c r="M33" s="39"/>
      <c r="N33" s="15"/>
      <c r="O33" s="139"/>
      <c r="P33" s="139"/>
      <c r="Q33" s="139"/>
      <c r="R33" s="139"/>
      <c r="S33" s="84"/>
      <c r="T33" s="166" t="s">
        <v>180</v>
      </c>
      <c r="U33" s="150"/>
      <c r="V33" s="144" t="s">
        <v>105</v>
      </c>
      <c r="W33" s="145">
        <v>3128</v>
      </c>
      <c r="X33" s="145">
        <v>6.22</v>
      </c>
      <c r="Y33" s="151" t="s">
        <v>104</v>
      </c>
    </row>
    <row r="34" spans="1:25" s="14" customFormat="1" ht="31.5" x14ac:dyDescent="0.25">
      <c r="B34" s="186">
        <v>8</v>
      </c>
      <c r="C34" s="190" t="s">
        <v>124</v>
      </c>
      <c r="D34" s="171">
        <f>IF(D5="Y",F34," ")</f>
        <v>0</v>
      </c>
      <c r="E34" s="204"/>
      <c r="F34" s="89">
        <f>IF(D3=1,G34,IF(D3=2,H35,IF(D3=3,H35," ")))</f>
        <v>0</v>
      </c>
      <c r="G34" s="89">
        <f>IF(H34&gt;10000,10000,H34)</f>
        <v>417</v>
      </c>
      <c r="H34" s="86">
        <f>IF(D6&lt;=200000,417,IF(D6&gt;=200001,(INT((D6-200000)/100000)*109)+417))</f>
        <v>417</v>
      </c>
      <c r="I34" s="50" t="s">
        <v>93</v>
      </c>
      <c r="J34" s="39"/>
      <c r="K34" s="39"/>
      <c r="L34" s="39"/>
      <c r="M34" s="39"/>
      <c r="N34" s="15"/>
      <c r="O34" s="139"/>
      <c r="P34" s="139"/>
      <c r="Q34" s="139"/>
      <c r="R34" s="139"/>
      <c r="S34" s="84"/>
      <c r="T34" s="166" t="s">
        <v>181</v>
      </c>
      <c r="U34" s="150"/>
      <c r="V34" s="144"/>
      <c r="W34" s="145"/>
      <c r="X34" s="145"/>
      <c r="Y34" s="151"/>
    </row>
    <row r="35" spans="1:25" s="14" customFormat="1" ht="18" x14ac:dyDescent="0.25">
      <c r="B35" s="186">
        <v>9</v>
      </c>
      <c r="C35" s="190" t="s">
        <v>125</v>
      </c>
      <c r="D35" s="172" t="str">
        <f t="shared" ref="D35:D40" si="2">F35</f>
        <v xml:space="preserve"> </v>
      </c>
      <c r="E35" s="204"/>
      <c r="F35" s="89" t="str">
        <f>IF(D7&gt;=7,D27*0.65,IF(D8="Y",D27*0.65," "))</f>
        <v xml:space="preserve"> </v>
      </c>
      <c r="G35" s="88"/>
      <c r="H35" s="86">
        <f>IF(D6&gt;25000,290,0)</f>
        <v>0</v>
      </c>
      <c r="I35" s="51" t="s">
        <v>94</v>
      </c>
      <c r="J35" s="39"/>
      <c r="K35" s="39"/>
      <c r="L35" s="39"/>
      <c r="M35" s="39"/>
      <c r="N35" s="15"/>
      <c r="O35" s="139"/>
      <c r="P35" s="139"/>
      <c r="Q35" s="139"/>
      <c r="R35" s="139"/>
      <c r="S35" s="84"/>
      <c r="T35" s="166" t="s">
        <v>110</v>
      </c>
      <c r="U35" s="150" t="s">
        <v>106</v>
      </c>
      <c r="V35" s="144" t="s">
        <v>98</v>
      </c>
      <c r="W35" s="145">
        <v>195</v>
      </c>
      <c r="X35" s="145"/>
      <c r="Y35" s="151"/>
    </row>
    <row r="36" spans="1:25" s="14" customFormat="1" ht="63" x14ac:dyDescent="0.25">
      <c r="B36" s="186">
        <v>10</v>
      </c>
      <c r="C36" s="190" t="s">
        <v>126</v>
      </c>
      <c r="D36" s="171" t="str">
        <f t="shared" si="2"/>
        <v xml:space="preserve"> </v>
      </c>
      <c r="E36" s="204"/>
      <c r="F36" s="89" t="str">
        <f>IF(D3=1,H36," ")</f>
        <v xml:space="preserve"> </v>
      </c>
      <c r="G36" s="88"/>
      <c r="H36" s="86">
        <f>IF(D19=0,0,IF(D19&lt;5,1645,IF(D19&lt;21,1779,IF(D19&lt;41,1915,IF(D19&lt;121,2051,IF(D19&lt;301,2217,IF(D19&gt;=301,2321)))))))</f>
        <v>0</v>
      </c>
      <c r="I36" s="51" t="s">
        <v>95</v>
      </c>
      <c r="J36" s="39"/>
      <c r="K36" s="39"/>
      <c r="L36" s="39"/>
      <c r="M36" s="39"/>
      <c r="N36" s="15"/>
      <c r="O36" s="139"/>
      <c r="P36" s="139"/>
      <c r="Q36" s="139"/>
      <c r="R36" s="139"/>
      <c r="S36" s="84"/>
      <c r="T36" s="166" t="s">
        <v>182</v>
      </c>
      <c r="U36" s="150"/>
      <c r="V36" s="144" t="s">
        <v>102</v>
      </c>
      <c r="W36" s="145">
        <v>206</v>
      </c>
      <c r="X36" s="145">
        <v>11.36</v>
      </c>
      <c r="Y36" s="151" t="s">
        <v>103</v>
      </c>
    </row>
    <row r="37" spans="1:25" ht="18" x14ac:dyDescent="0.25">
      <c r="A37" s="14"/>
      <c r="B37" s="186">
        <v>11</v>
      </c>
      <c r="C37" s="75" t="s">
        <v>127</v>
      </c>
      <c r="D37" s="171" t="str">
        <f t="shared" si="2"/>
        <v xml:space="preserve"> </v>
      </c>
      <c r="E37" s="204"/>
      <c r="F37" s="89" t="str">
        <f>IF(D3=1,762,IF(D3=2," ",IF(D3=3,762," ")))</f>
        <v xml:space="preserve"> </v>
      </c>
      <c r="G37" s="88"/>
      <c r="H37" s="36"/>
      <c r="I37" s="35"/>
      <c r="J37" s="32"/>
      <c r="K37" s="32"/>
      <c r="L37" s="32"/>
      <c r="M37" s="32"/>
      <c r="N37" s="5"/>
      <c r="S37" s="84"/>
      <c r="T37" s="166" t="s">
        <v>183</v>
      </c>
      <c r="U37" s="150"/>
      <c r="V37" s="144" t="s">
        <v>146</v>
      </c>
      <c r="W37" s="145">
        <v>739</v>
      </c>
      <c r="X37" s="145">
        <v>10.81</v>
      </c>
      <c r="Y37" s="151" t="s">
        <v>193</v>
      </c>
    </row>
    <row r="38" spans="1:25" ht="18" x14ac:dyDescent="0.25">
      <c r="A38" s="14"/>
      <c r="B38" s="186">
        <v>12</v>
      </c>
      <c r="C38" s="75" t="s">
        <v>128</v>
      </c>
      <c r="D38" s="171" t="str">
        <f t="shared" si="2"/>
        <v xml:space="preserve"> </v>
      </c>
      <c r="E38" s="204"/>
      <c r="F38" s="89" t="str">
        <f>IF(G38&gt;0,G38," ")</f>
        <v xml:space="preserve"> </v>
      </c>
      <c r="G38" s="89" t="str">
        <f>IF(D3=1,IF(D14=1,146,52.5)," ")</f>
        <v xml:space="preserve"> </v>
      </c>
      <c r="H38" s="36"/>
      <c r="I38" s="35"/>
      <c r="J38" s="32"/>
      <c r="K38" s="32"/>
      <c r="L38" s="32"/>
      <c r="M38" s="32"/>
      <c r="N38" s="5"/>
      <c r="S38" s="84"/>
      <c r="T38" s="166" t="s">
        <v>184</v>
      </c>
      <c r="U38" s="150"/>
      <c r="V38" s="144" t="s">
        <v>107</v>
      </c>
      <c r="W38" s="145">
        <v>1020</v>
      </c>
      <c r="X38" s="145">
        <v>10</v>
      </c>
      <c r="Y38" s="151" t="s">
        <v>193</v>
      </c>
    </row>
    <row r="39" spans="1:25" s="53" customFormat="1" ht="18" x14ac:dyDescent="0.25">
      <c r="A39" s="54"/>
      <c r="B39" s="187">
        <v>13</v>
      </c>
      <c r="C39" s="75" t="s">
        <v>129</v>
      </c>
      <c r="D39" s="173" t="str">
        <f t="shared" si="2"/>
        <v xml:space="preserve"> </v>
      </c>
      <c r="E39" s="205"/>
      <c r="F39" s="86" t="str">
        <f>IF(D21&gt;0,D21*G39," ")</f>
        <v xml:space="preserve"> </v>
      </c>
      <c r="G39" s="86">
        <f>IF(D14=1,146,52.5)</f>
        <v>52.5</v>
      </c>
      <c r="H39" s="36"/>
      <c r="I39" s="43"/>
      <c r="J39" s="55"/>
      <c r="K39" s="55"/>
      <c r="L39" s="55"/>
      <c r="M39" s="55"/>
      <c r="N39" s="56"/>
      <c r="O39" s="140"/>
      <c r="P39" s="140"/>
      <c r="Q39" s="140"/>
      <c r="R39" s="140"/>
      <c r="S39" s="91"/>
      <c r="T39" s="166" t="s">
        <v>111</v>
      </c>
      <c r="U39" s="150"/>
      <c r="V39" s="144" t="s">
        <v>149</v>
      </c>
      <c r="W39" s="145">
        <v>2528</v>
      </c>
      <c r="X39" s="145">
        <v>8.65</v>
      </c>
      <c r="Y39" s="151" t="s">
        <v>104</v>
      </c>
    </row>
    <row r="40" spans="1:25" ht="18" x14ac:dyDescent="0.25">
      <c r="A40" s="30"/>
      <c r="B40" s="186">
        <v>14</v>
      </c>
      <c r="C40" s="75" t="s">
        <v>54</v>
      </c>
      <c r="D40" s="172" t="str">
        <f t="shared" si="2"/>
        <v xml:space="preserve"> </v>
      </c>
      <c r="E40" s="204"/>
      <c r="F40" s="89" t="str">
        <f>IF(D20&gt;0,100*D20," ")</f>
        <v xml:space="preserve"> </v>
      </c>
      <c r="H40" s="36"/>
      <c r="I40" s="35"/>
      <c r="J40" s="32"/>
      <c r="K40" s="32"/>
      <c r="L40" s="32"/>
      <c r="M40" s="32"/>
      <c r="N40" s="5"/>
      <c r="S40" s="84"/>
      <c r="T40" s="166" t="s">
        <v>112</v>
      </c>
      <c r="U40" s="150"/>
      <c r="V40" s="144"/>
      <c r="W40" s="145"/>
      <c r="X40" s="145"/>
      <c r="Y40" s="151"/>
    </row>
    <row r="41" spans="1:25" ht="48" thickBot="1" x14ac:dyDescent="0.3">
      <c r="A41" s="14"/>
      <c r="B41" s="192">
        <v>15</v>
      </c>
      <c r="C41" s="190" t="s">
        <v>131</v>
      </c>
      <c r="D41" s="169" t="str">
        <f>F41</f>
        <v xml:space="preserve"> </v>
      </c>
      <c r="E41" s="204"/>
      <c r="F41" s="89" t="str">
        <f>IF((F16+F17+F18)&gt;0,F16+F17+F18," ")</f>
        <v xml:space="preserve"> </v>
      </c>
      <c r="H41" s="36"/>
      <c r="I41" s="35"/>
      <c r="J41" s="32"/>
      <c r="K41" s="32"/>
      <c r="L41" s="32"/>
      <c r="M41" s="32"/>
      <c r="N41" s="5"/>
      <c r="S41" s="84"/>
      <c r="T41" s="166" t="s">
        <v>185</v>
      </c>
      <c r="U41" s="152"/>
      <c r="V41" s="153"/>
      <c r="W41" s="154"/>
      <c r="X41" s="154"/>
      <c r="Y41" s="155"/>
    </row>
    <row r="42" spans="1:25" s="16" customFormat="1" ht="18" x14ac:dyDescent="0.25">
      <c r="A42" s="14"/>
      <c r="B42" s="193">
        <v>16</v>
      </c>
      <c r="C42" s="194" t="s">
        <v>130</v>
      </c>
      <c r="D42" s="174">
        <f>F42</f>
        <v>76</v>
      </c>
      <c r="E42" s="206"/>
      <c r="F42" s="92">
        <f>76</f>
        <v>76</v>
      </c>
      <c r="G42" s="88"/>
      <c r="H42" s="87"/>
      <c r="I42" s="93"/>
      <c r="J42" s="94"/>
      <c r="K42" s="94"/>
      <c r="L42" s="94"/>
      <c r="M42" s="94"/>
      <c r="N42" s="95"/>
      <c r="O42" s="141"/>
      <c r="P42" s="141"/>
      <c r="Q42" s="141"/>
      <c r="R42" s="141"/>
      <c r="S42" s="96"/>
      <c r="T42" s="165" t="s">
        <v>186</v>
      </c>
      <c r="U42" s="57"/>
    </row>
    <row r="43" spans="1:25" ht="18" x14ac:dyDescent="0.25">
      <c r="A43" s="31"/>
      <c r="B43" s="192">
        <v>17</v>
      </c>
      <c r="C43" s="190" t="s">
        <v>132</v>
      </c>
      <c r="D43" s="169" t="str">
        <f>F43</f>
        <v xml:space="preserve"> </v>
      </c>
      <c r="E43" s="204"/>
      <c r="F43" s="89" t="str">
        <f>IF(D4="Y",218," ")</f>
        <v xml:space="preserve"> </v>
      </c>
      <c r="H43" s="36"/>
      <c r="I43" s="35"/>
      <c r="J43" s="40"/>
      <c r="K43" s="40"/>
      <c r="L43" s="40"/>
      <c r="M43" s="40"/>
      <c r="N43" s="17"/>
      <c r="S43" s="84"/>
      <c r="T43" s="165" t="s">
        <v>187</v>
      </c>
      <c r="U43" s="57"/>
    </row>
    <row r="44" spans="1:25" ht="31.5" x14ac:dyDescent="0.25">
      <c r="A44" s="14"/>
      <c r="B44" s="192">
        <v>18</v>
      </c>
      <c r="C44" s="195" t="s">
        <v>133</v>
      </c>
      <c r="D44" s="175">
        <f>F44</f>
        <v>1</v>
      </c>
      <c r="E44" s="204"/>
      <c r="F44" s="86">
        <f>IF(D6=0, " ",IF(D6&lt;=24999,1,IF(D6=25000,2,IF(D6&gt;25000,(INT((D6-25000)/25000)*1)+1))))</f>
        <v>1</v>
      </c>
      <c r="I44" s="35"/>
      <c r="J44" s="35"/>
      <c r="K44" s="35"/>
      <c r="L44" s="35"/>
      <c r="M44" s="35"/>
      <c r="N44" s="17"/>
      <c r="S44" s="84"/>
      <c r="T44" s="165" t="s">
        <v>113</v>
      </c>
      <c r="U44" s="57"/>
    </row>
    <row r="45" spans="1:25" s="16" customFormat="1" ht="31.5" x14ac:dyDescent="0.25">
      <c r="A45" s="29"/>
      <c r="B45" s="193">
        <v>19</v>
      </c>
      <c r="C45" s="190" t="s">
        <v>134</v>
      </c>
      <c r="D45" s="168" t="str">
        <f>F45</f>
        <v xml:space="preserve"> </v>
      </c>
      <c r="E45" s="204"/>
      <c r="F45" s="97" t="str">
        <f>IF(D24="R",D27*0.15,IF(D24="C",D27*0.25," "))</f>
        <v xml:space="preserve"> </v>
      </c>
      <c r="G45" s="88"/>
      <c r="H45" s="88"/>
      <c r="I45" s="93"/>
      <c r="J45" s="93"/>
      <c r="K45" s="93"/>
      <c r="L45" s="93"/>
      <c r="M45" s="93"/>
      <c r="N45" s="98"/>
      <c r="O45" s="141"/>
      <c r="P45" s="141"/>
      <c r="Q45" s="141"/>
      <c r="R45" s="141"/>
      <c r="S45" s="96"/>
      <c r="T45" s="165" t="s">
        <v>188</v>
      </c>
      <c r="U45" s="57"/>
    </row>
    <row r="46" spans="1:25" s="16" customFormat="1" ht="48" customHeight="1" x14ac:dyDescent="0.25">
      <c r="B46" s="193">
        <v>20</v>
      </c>
      <c r="C46" s="190" t="s">
        <v>135</v>
      </c>
      <c r="D46" s="168" t="str">
        <f>F45</f>
        <v xml:space="preserve"> </v>
      </c>
      <c r="E46" s="204"/>
      <c r="F46" s="88"/>
      <c r="G46" s="88"/>
      <c r="H46" s="87"/>
      <c r="I46" s="93"/>
      <c r="J46" s="93"/>
      <c r="K46" s="93"/>
      <c r="L46" s="93"/>
      <c r="M46" s="93"/>
      <c r="N46" s="98"/>
      <c r="O46" s="141"/>
      <c r="P46" s="141"/>
      <c r="Q46" s="141"/>
      <c r="R46" s="141"/>
      <c r="S46" s="96"/>
      <c r="T46" s="165" t="s">
        <v>189</v>
      </c>
      <c r="U46" s="57"/>
    </row>
    <row r="47" spans="1:25" s="16" customFormat="1" ht="31.5" x14ac:dyDescent="0.25">
      <c r="B47" s="193">
        <v>21</v>
      </c>
      <c r="C47" s="190" t="s">
        <v>136</v>
      </c>
      <c r="D47" s="168" t="str">
        <f>F45</f>
        <v xml:space="preserve"> </v>
      </c>
      <c r="E47" s="204"/>
      <c r="F47" s="88"/>
      <c r="G47" s="88"/>
      <c r="H47" s="87"/>
      <c r="I47" s="93"/>
      <c r="J47" s="93"/>
      <c r="K47" s="93"/>
      <c r="L47" s="93"/>
      <c r="M47" s="93"/>
      <c r="N47" s="98"/>
      <c r="O47" s="141"/>
      <c r="P47" s="141"/>
      <c r="Q47" s="141"/>
      <c r="R47" s="141"/>
      <c r="S47" s="96"/>
      <c r="T47" s="165" t="s">
        <v>190</v>
      </c>
      <c r="U47" s="57"/>
    </row>
    <row r="48" spans="1:25" ht="18" hidden="1" x14ac:dyDescent="0.25">
      <c r="B48" s="186"/>
      <c r="C48" s="77"/>
      <c r="D48" s="175"/>
      <c r="E48" s="204"/>
      <c r="F48" s="2">
        <f>SUM(F27:F47)</f>
        <v>273.10000000000002</v>
      </c>
      <c r="G48" s="2">
        <f>F44</f>
        <v>1</v>
      </c>
      <c r="H48" s="36"/>
      <c r="I48" s="35"/>
      <c r="J48" s="35"/>
      <c r="K48" s="35"/>
      <c r="L48" s="35"/>
      <c r="M48" s="35"/>
      <c r="N48" s="17"/>
      <c r="S48" s="84"/>
      <c r="T48" s="167"/>
      <c r="U48" s="57"/>
    </row>
    <row r="49" spans="1:21" ht="18" x14ac:dyDescent="0.25">
      <c r="B49" s="186"/>
      <c r="C49" s="77"/>
      <c r="D49" s="175"/>
      <c r="E49" s="204"/>
      <c r="F49" s="37"/>
      <c r="H49" s="36"/>
      <c r="I49" s="35"/>
      <c r="J49" s="35"/>
      <c r="K49" s="35"/>
      <c r="L49" s="35"/>
      <c r="M49" s="35"/>
      <c r="N49" s="17"/>
      <c r="S49" s="84"/>
      <c r="T49" s="167"/>
      <c r="U49" s="57"/>
    </row>
    <row r="50" spans="1:21" ht="18" x14ac:dyDescent="0.25">
      <c r="B50" s="193">
        <v>22</v>
      </c>
      <c r="C50" s="78" t="s">
        <v>55</v>
      </c>
      <c r="D50" s="176">
        <f>IF(SUM(D27:D47)=0," ", SUM(D27:D47))</f>
        <v>273.10000000000002</v>
      </c>
      <c r="E50" s="204" t="str">
        <f>IF(SUM(E27:E47)=0," ", SUM(E27:E47))</f>
        <v xml:space="preserve"> </v>
      </c>
      <c r="H50" s="36"/>
      <c r="I50" s="35"/>
      <c r="J50" s="40"/>
      <c r="K50" s="40"/>
      <c r="L50" s="40"/>
      <c r="M50" s="40"/>
      <c r="N50" s="17"/>
      <c r="S50" s="84"/>
      <c r="T50" s="165" t="s">
        <v>114</v>
      </c>
      <c r="U50" s="57"/>
    </row>
    <row r="51" spans="1:21" ht="18" x14ac:dyDescent="0.25">
      <c r="A51" s="18"/>
      <c r="B51" s="185">
        <v>23</v>
      </c>
      <c r="C51" s="79" t="s">
        <v>150</v>
      </c>
      <c r="D51" s="177">
        <f>IF(SUM(D27:D44)=0," ", SUM(D27:D47)*0.1475)</f>
        <v>40.282250000000005</v>
      </c>
      <c r="E51" s="207" t="str">
        <f>IF(SUM(E27:E44)=0," ", SUM(E27:E47)*0.1475)</f>
        <v xml:space="preserve"> </v>
      </c>
      <c r="F51" s="2"/>
      <c r="H51" s="36"/>
      <c r="I51" s="35"/>
      <c r="J51" s="32"/>
      <c r="K51" s="40"/>
      <c r="L51" s="40"/>
      <c r="M51" s="40"/>
      <c r="N51" s="17"/>
      <c r="S51" s="84"/>
      <c r="T51" s="165" t="s">
        <v>115</v>
      </c>
      <c r="U51" s="57"/>
    </row>
    <row r="52" spans="1:21" ht="18" x14ac:dyDescent="0.25">
      <c r="B52" s="185">
        <v>24</v>
      </c>
      <c r="C52" s="76" t="s">
        <v>57</v>
      </c>
      <c r="D52" s="170">
        <f>F52</f>
        <v>0</v>
      </c>
      <c r="E52" s="204">
        <f t="shared" ref="E52:E55" si="3">G52</f>
        <v>0</v>
      </c>
      <c r="F52" s="99">
        <f>IF(D9=1,F92,IF(D9=2,F93,IF(D9=3,F94," ")))</f>
        <v>0</v>
      </c>
      <c r="H52" s="36"/>
      <c r="I52" s="35"/>
      <c r="J52" s="32"/>
      <c r="K52" s="40"/>
      <c r="L52" s="40"/>
      <c r="M52" s="40"/>
      <c r="N52" s="17"/>
      <c r="S52" s="84"/>
      <c r="T52" s="165" t="s">
        <v>116</v>
      </c>
      <c r="U52" s="57"/>
    </row>
    <row r="53" spans="1:21" ht="18" x14ac:dyDescent="0.25">
      <c r="B53" s="185">
        <v>25</v>
      </c>
      <c r="C53" s="76" t="s">
        <v>58</v>
      </c>
      <c r="D53" s="170">
        <f>F53</f>
        <v>0</v>
      </c>
      <c r="E53" s="204">
        <f t="shared" si="3"/>
        <v>0</v>
      </c>
      <c r="F53" s="100">
        <f>IF(D9=1, F82,IF(D9=2, F83,IF(D9=3, F84," ")))</f>
        <v>0</v>
      </c>
      <c r="H53" s="36"/>
      <c r="I53" s="35"/>
      <c r="J53" s="32"/>
      <c r="K53" s="40"/>
      <c r="L53" s="40"/>
      <c r="M53" s="40"/>
      <c r="N53" s="17"/>
      <c r="S53" s="84"/>
      <c r="T53" s="167"/>
      <c r="U53" s="57"/>
    </row>
    <row r="54" spans="1:21" ht="18" x14ac:dyDescent="0.25">
      <c r="B54" s="185">
        <v>26</v>
      </c>
      <c r="C54" s="76" t="s">
        <v>59</v>
      </c>
      <c r="D54" s="170">
        <f>F54</f>
        <v>0</v>
      </c>
      <c r="E54" s="204">
        <f t="shared" si="3"/>
        <v>0</v>
      </c>
      <c r="F54" s="101">
        <f>IF(D9=1,F60,IF(D9=2, F61,IF(D9=3, F62," ")))</f>
        <v>0</v>
      </c>
      <c r="H54" s="36"/>
      <c r="I54" s="35"/>
      <c r="J54" s="32"/>
      <c r="K54" s="40"/>
      <c r="L54" s="40"/>
      <c r="M54" s="40"/>
      <c r="N54" s="17"/>
      <c r="S54" s="84"/>
      <c r="T54" s="167"/>
      <c r="U54" s="57"/>
    </row>
    <row r="55" spans="1:21" s="14" customFormat="1" ht="18.75" thickBot="1" x14ac:dyDescent="0.3">
      <c r="B55" s="186">
        <v>27</v>
      </c>
      <c r="C55" s="80" t="s">
        <v>171</v>
      </c>
      <c r="D55" s="178" t="str">
        <f>F55</f>
        <v xml:space="preserve"> </v>
      </c>
      <c r="E55" s="208">
        <f t="shared" si="3"/>
        <v>0</v>
      </c>
      <c r="F55" s="41" t="str">
        <f>IF(D18&gt;25000,(D12-25000)*5.9," ")</f>
        <v xml:space="preserve"> </v>
      </c>
      <c r="G55" s="2"/>
      <c r="H55" s="36"/>
      <c r="I55" s="35"/>
      <c r="J55" s="39"/>
      <c r="K55" s="42"/>
      <c r="L55" s="42"/>
      <c r="M55" s="42"/>
      <c r="N55" s="19"/>
      <c r="O55" s="139"/>
      <c r="P55" s="139"/>
      <c r="Q55" s="139"/>
      <c r="R55" s="139"/>
      <c r="S55" s="84"/>
      <c r="T55" s="165" t="s">
        <v>172</v>
      </c>
    </row>
    <row r="56" spans="1:21" ht="18.75" thickBot="1" x14ac:dyDescent="0.3">
      <c r="B56" s="188">
        <v>28</v>
      </c>
      <c r="C56" s="81" t="s">
        <v>60</v>
      </c>
      <c r="D56" s="179">
        <f>IF(SUM(D27:D47)=0," ", SUM(D50:D54))</f>
        <v>313.38225</v>
      </c>
      <c r="E56" s="209" t="str">
        <f>IF(SUM(E27:E47)=0," ", SUM(E50:E54))</f>
        <v xml:space="preserve"> </v>
      </c>
      <c r="F56" s="2"/>
      <c r="G56" s="36"/>
      <c r="H56" s="36"/>
      <c r="I56" s="43"/>
      <c r="J56" s="32"/>
      <c r="K56" s="32"/>
      <c r="L56" s="32"/>
      <c r="M56" s="32"/>
      <c r="N56" s="5"/>
      <c r="S56" s="84"/>
      <c r="T56" s="167" t="s">
        <v>163</v>
      </c>
    </row>
    <row r="57" spans="1:21" ht="16.5" hidden="1" thickBot="1" x14ac:dyDescent="0.3">
      <c r="B57" s="20"/>
      <c r="I57" s="44"/>
      <c r="J57" s="32"/>
      <c r="K57" s="32"/>
      <c r="L57" s="32"/>
      <c r="M57" s="32"/>
      <c r="N57" s="5"/>
    </row>
    <row r="58" spans="1:21" ht="36" hidden="1" x14ac:dyDescent="0.25">
      <c r="C58" s="61" t="s">
        <v>61</v>
      </c>
      <c r="D58" s="120"/>
      <c r="E58" s="210"/>
      <c r="F58" s="82"/>
      <c r="I58" s="45"/>
      <c r="J58" s="45"/>
      <c r="K58" s="32"/>
      <c r="L58" s="32"/>
      <c r="M58" s="32"/>
      <c r="N58" s="5"/>
    </row>
    <row r="59" spans="1:21" hidden="1" x14ac:dyDescent="0.25">
      <c r="C59" s="22"/>
      <c r="D59" s="121"/>
      <c r="E59" s="211"/>
      <c r="F59" s="82"/>
      <c r="I59" s="44"/>
      <c r="J59" s="32"/>
      <c r="K59" s="32"/>
      <c r="L59" s="32"/>
      <c r="M59" s="32"/>
      <c r="N59" s="5"/>
    </row>
    <row r="60" spans="1:21" hidden="1" x14ac:dyDescent="0.25">
      <c r="C60" s="62" t="s">
        <v>62</v>
      </c>
      <c r="D60" s="122" t="str">
        <f>D40</f>
        <v xml:space="preserve"> </v>
      </c>
      <c r="E60" s="212">
        <f>E40</f>
        <v>0</v>
      </c>
      <c r="F60" s="102">
        <f>SUM(IF(D11="MF",G60,IF(D11="TH",H60,IF(D11="SF",I60,IF(D11=" ",0))))+(IF(D10="O",G63,IF(D10="RF",G64,IF(D10="RG",G65,IF(D10="I1",G66,IF(D10="W",G67,IF(D10="H",G68,IF(D10="I2",G69,IF(D10=" ",0))))))))))</f>
        <v>0</v>
      </c>
      <c r="G60" s="101">
        <f>D13*790</f>
        <v>0</v>
      </c>
      <c r="H60" s="103">
        <f>D13*1053</f>
        <v>0</v>
      </c>
      <c r="I60" s="104">
        <f>D13*1053</f>
        <v>0</v>
      </c>
      <c r="J60" s="32"/>
      <c r="K60" s="32"/>
      <c r="L60" s="32"/>
      <c r="M60" s="32"/>
      <c r="N60" s="5"/>
    </row>
    <row r="61" spans="1:21" hidden="1" x14ac:dyDescent="0.25">
      <c r="C61" s="21" t="s">
        <v>63</v>
      </c>
      <c r="D61" s="123" t="str">
        <f>D35</f>
        <v xml:space="preserve"> </v>
      </c>
      <c r="E61" s="212">
        <f>E35</f>
        <v>0</v>
      </c>
      <c r="F61" s="102">
        <f>SUM(IF(D11="MF",G61,IF(D11="TH",H61,IF(D11="SF",I61,IF(D11=" ",0))))+(IF(D10="O",G63,IF(D10="RF",G64,IF(D10="RG",G65,IF(D10="I1",G66,IF(D10="W",G67,IF(D10="H",G68,IF(D10="I2",G69,IF(D10=" ",0))))))))))</f>
        <v>0</v>
      </c>
      <c r="G61" s="101">
        <f>D13*790</f>
        <v>0</v>
      </c>
      <c r="H61" s="103">
        <f>D13*1053</f>
        <v>0</v>
      </c>
      <c r="I61" s="104">
        <f>D13*1053</f>
        <v>0</v>
      </c>
      <c r="J61" s="32"/>
      <c r="K61" s="32"/>
      <c r="L61" s="32"/>
      <c r="M61" s="32"/>
      <c r="N61" s="5"/>
    </row>
    <row r="62" spans="1:21" hidden="1" x14ac:dyDescent="0.25">
      <c r="C62" s="21" t="s">
        <v>64</v>
      </c>
      <c r="D62" s="123" t="e">
        <f>D41*0.97</f>
        <v>#VALUE!</v>
      </c>
      <c r="E62" s="212">
        <f>E41*0.97</f>
        <v>0</v>
      </c>
      <c r="F62" s="102">
        <f>SUM(IF(D11="MF",G62,IF(D11="TH",H62,IF(D11="SF",I62,IF(D11=" ",0))))+(IF(D10="O",G63,IF(D10="RF",G64,IF(D10="RG",G65,IF(D10="I1",G66,IF(D10="W",G67,IF(D10="H",G68,IF(D10="I2",G69,IF(D10=" ",0))))))))))</f>
        <v>0</v>
      </c>
      <c r="G62" s="101">
        <f>D13*790</f>
        <v>0</v>
      </c>
      <c r="H62" s="103">
        <f>D13*1053</f>
        <v>0</v>
      </c>
      <c r="I62" s="104">
        <f>D13*1053</f>
        <v>0</v>
      </c>
      <c r="J62" s="32"/>
      <c r="K62" s="32"/>
      <c r="L62" s="32"/>
      <c r="M62" s="32"/>
      <c r="N62" s="5"/>
    </row>
    <row r="63" spans="1:21" hidden="1" x14ac:dyDescent="0.25">
      <c r="C63" s="21" t="s">
        <v>173</v>
      </c>
      <c r="D63" s="123">
        <f>D31*0.95</f>
        <v>0.47499999999999998</v>
      </c>
      <c r="E63" s="212">
        <f>E31*0.95</f>
        <v>0</v>
      </c>
      <c r="G63" s="1">
        <f>D12*2.11</f>
        <v>0</v>
      </c>
      <c r="I63" s="44"/>
      <c r="J63" s="32"/>
      <c r="K63" s="32"/>
      <c r="L63" s="32"/>
      <c r="M63" s="32"/>
      <c r="N63" s="5"/>
    </row>
    <row r="64" spans="1:21" hidden="1" x14ac:dyDescent="0.25">
      <c r="C64" s="21" t="s">
        <v>65</v>
      </c>
      <c r="D64" s="123">
        <f>D44*0.9</f>
        <v>0.9</v>
      </c>
      <c r="E64" s="212">
        <f>E44*0.9</f>
        <v>0</v>
      </c>
      <c r="G64" s="1">
        <f>D12*0.79</f>
        <v>0</v>
      </c>
      <c r="I64" s="44"/>
      <c r="J64" s="32"/>
      <c r="K64" s="32"/>
      <c r="L64" s="32"/>
      <c r="M64" s="32"/>
      <c r="N64" s="5"/>
    </row>
    <row r="65" spans="1:14" hidden="1" x14ac:dyDescent="0.25">
      <c r="C65" s="21" t="s">
        <v>57</v>
      </c>
      <c r="D65" s="123">
        <f t="shared" ref="D65:E68" si="4">D52</f>
        <v>0</v>
      </c>
      <c r="E65" s="212">
        <f t="shared" si="4"/>
        <v>0</v>
      </c>
      <c r="G65" s="1">
        <f>D12*0.79</f>
        <v>0</v>
      </c>
      <c r="I65" s="44"/>
      <c r="J65" s="32"/>
      <c r="K65" s="32"/>
      <c r="L65" s="32"/>
      <c r="M65" s="32"/>
      <c r="N65" s="5"/>
    </row>
    <row r="66" spans="1:14" hidden="1" x14ac:dyDescent="0.25">
      <c r="C66" s="21" t="s">
        <v>58</v>
      </c>
      <c r="D66" s="123">
        <f t="shared" si="4"/>
        <v>0</v>
      </c>
      <c r="E66" s="212">
        <f t="shared" si="4"/>
        <v>0</v>
      </c>
      <c r="G66" s="1">
        <f>D12*0.58</f>
        <v>0</v>
      </c>
      <c r="I66" s="44"/>
      <c r="J66" s="32"/>
      <c r="K66" s="32"/>
      <c r="L66" s="32"/>
      <c r="M66" s="32"/>
      <c r="N66" s="5"/>
    </row>
    <row r="67" spans="1:14" hidden="1" x14ac:dyDescent="0.25">
      <c r="C67" s="21" t="s">
        <v>59</v>
      </c>
      <c r="D67" s="123">
        <f t="shared" si="4"/>
        <v>0</v>
      </c>
      <c r="E67" s="212">
        <f t="shared" si="4"/>
        <v>0</v>
      </c>
      <c r="G67" s="1">
        <f>D12*0.37</f>
        <v>0</v>
      </c>
      <c r="I67" s="44"/>
      <c r="J67" s="32"/>
      <c r="K67" s="32"/>
      <c r="L67" s="32"/>
      <c r="M67" s="32"/>
      <c r="N67" s="5"/>
    </row>
    <row r="68" spans="1:14" hidden="1" x14ac:dyDescent="0.25">
      <c r="C68" s="21" t="s">
        <v>66</v>
      </c>
      <c r="D68" s="123" t="str">
        <f t="shared" si="4"/>
        <v xml:space="preserve"> </v>
      </c>
      <c r="E68" s="212">
        <f t="shared" si="4"/>
        <v>0</v>
      </c>
      <c r="G68" s="1">
        <f>D12*0.68</f>
        <v>0</v>
      </c>
      <c r="I68" s="44"/>
      <c r="J68" s="32"/>
      <c r="K68" s="32"/>
      <c r="L68" s="32"/>
      <c r="M68" s="32"/>
      <c r="N68" s="5"/>
    </row>
    <row r="69" spans="1:14" hidden="1" x14ac:dyDescent="0.25">
      <c r="C69" s="21" t="s">
        <v>67</v>
      </c>
      <c r="D69" s="123" t="e">
        <f>SUM(D60:D68)</f>
        <v>#VALUE!</v>
      </c>
      <c r="E69" s="212">
        <f>SUM(E60:E68)</f>
        <v>0</v>
      </c>
      <c r="G69" s="1">
        <f>D12*3.16</f>
        <v>0</v>
      </c>
      <c r="I69" s="44"/>
      <c r="J69" s="32"/>
      <c r="K69" s="32"/>
      <c r="L69" s="32"/>
      <c r="M69" s="32"/>
      <c r="N69" s="5"/>
    </row>
    <row r="70" spans="1:14" hidden="1" x14ac:dyDescent="0.25">
      <c r="C70" s="22"/>
      <c r="D70" s="123"/>
      <c r="E70" s="212"/>
      <c r="I70" s="44"/>
      <c r="J70" s="32"/>
      <c r="K70" s="32"/>
      <c r="L70" s="32"/>
      <c r="M70" s="32"/>
      <c r="N70" s="5"/>
    </row>
    <row r="71" spans="1:14" ht="16.5" hidden="1" thickBot="1" x14ac:dyDescent="0.3">
      <c r="C71" s="23" t="s">
        <v>68</v>
      </c>
      <c r="D71" s="124" t="e">
        <f>D56-D69</f>
        <v>#VALUE!</v>
      </c>
      <c r="E71" s="213" t="e">
        <f>E56-E69</f>
        <v>#VALUE!</v>
      </c>
      <c r="H71" s="46"/>
      <c r="I71" s="44"/>
      <c r="J71" s="32"/>
      <c r="K71" s="32"/>
      <c r="L71" s="32"/>
      <c r="M71" s="32"/>
      <c r="N71" s="5"/>
    </row>
    <row r="72" spans="1:14" hidden="1" x14ac:dyDescent="0.25">
      <c r="C72" s="24"/>
      <c r="D72" s="125"/>
      <c r="E72" s="201"/>
      <c r="H72" s="46"/>
      <c r="I72" s="44"/>
      <c r="J72" s="32"/>
      <c r="K72" s="32"/>
      <c r="L72" s="32"/>
      <c r="M72" s="32"/>
      <c r="N72" s="5"/>
    </row>
    <row r="73" spans="1:14" hidden="1" x14ac:dyDescent="0.25">
      <c r="C73" s="25" t="s">
        <v>69</v>
      </c>
      <c r="D73" s="125"/>
      <c r="E73" s="201"/>
      <c r="F73" s="52" t="s">
        <v>70</v>
      </c>
      <c r="H73" s="46"/>
      <c r="I73" s="44"/>
      <c r="J73" s="32"/>
      <c r="K73" s="32"/>
      <c r="L73" s="32"/>
      <c r="M73" s="32"/>
      <c r="N73" s="5"/>
    </row>
    <row r="74" spans="1:14" hidden="1" x14ac:dyDescent="0.25">
      <c r="A74" s="14"/>
      <c r="B74">
        <v>29</v>
      </c>
      <c r="C74" s="26" t="s">
        <v>71</v>
      </c>
      <c r="D74" s="125">
        <f>+D$50*F74</f>
        <v>46.427000000000007</v>
      </c>
      <c r="E74" s="201" t="str">
        <f>IF(D22=1, 0, D29)</f>
        <v xml:space="preserve"> </v>
      </c>
      <c r="F74" s="82">
        <v>0.17</v>
      </c>
      <c r="G74" s="32" t="s">
        <v>72</v>
      </c>
      <c r="H74" s="46"/>
      <c r="I74" s="44"/>
      <c r="J74" s="32"/>
      <c r="K74" s="32"/>
      <c r="L74" s="32"/>
      <c r="M74" s="32"/>
      <c r="N74" s="5"/>
    </row>
    <row r="75" spans="1:14" hidden="1" x14ac:dyDescent="0.25">
      <c r="A75" s="14"/>
      <c r="B75">
        <v>30</v>
      </c>
      <c r="C75" s="26" t="s">
        <v>73</v>
      </c>
      <c r="D75" s="125">
        <f>+D$50*F75</f>
        <v>16.385999999999999</v>
      </c>
      <c r="E75" s="201"/>
      <c r="F75" s="82">
        <v>0.06</v>
      </c>
      <c r="G75" s="32" t="s">
        <v>72</v>
      </c>
      <c r="H75" s="46"/>
      <c r="I75" s="44"/>
      <c r="J75" s="32"/>
      <c r="K75" s="32"/>
      <c r="L75" s="32"/>
      <c r="M75" s="32"/>
      <c r="N75" s="5"/>
    </row>
    <row r="76" spans="1:14" hidden="1" x14ac:dyDescent="0.25">
      <c r="A76" s="14"/>
      <c r="B76">
        <v>31</v>
      </c>
      <c r="C76" s="26" t="s">
        <v>74</v>
      </c>
      <c r="D76" s="127">
        <f>+D$50*F76</f>
        <v>2.7310000000000003</v>
      </c>
      <c r="E76" s="201"/>
      <c r="F76" s="82">
        <v>0.01</v>
      </c>
      <c r="G76" s="32" t="s">
        <v>72</v>
      </c>
      <c r="H76" s="46"/>
      <c r="I76" s="44"/>
      <c r="J76" s="32"/>
      <c r="K76" s="32"/>
      <c r="L76" s="32"/>
      <c r="M76" s="32"/>
      <c r="N76" s="5"/>
    </row>
    <row r="77" spans="1:14" hidden="1" x14ac:dyDescent="0.25">
      <c r="A77" s="14"/>
      <c r="B77">
        <v>32</v>
      </c>
      <c r="C77" s="26" t="s">
        <v>75</v>
      </c>
      <c r="D77" s="125">
        <f>SUM(D74:D76)</f>
        <v>65.543999999999997</v>
      </c>
      <c r="E77" s="201">
        <f>SUM(E74:E76)</f>
        <v>0</v>
      </c>
      <c r="F77" s="82"/>
      <c r="H77" s="46"/>
      <c r="I77" s="44"/>
      <c r="J77" s="32"/>
      <c r="K77" s="32"/>
      <c r="L77" s="32"/>
      <c r="M77" s="32"/>
      <c r="N77" s="5"/>
    </row>
    <row r="78" spans="1:14" hidden="1" x14ac:dyDescent="0.25">
      <c r="A78" s="14"/>
      <c r="B78">
        <v>33</v>
      </c>
      <c r="C78" s="63" t="s">
        <v>56</v>
      </c>
      <c r="D78" s="127">
        <f>+D77*F78</f>
        <v>9.6677399999999984</v>
      </c>
      <c r="E78" s="201" t="e">
        <f>+E77*G78</f>
        <v>#VALUE!</v>
      </c>
      <c r="F78" s="82">
        <v>0.14749999999999999</v>
      </c>
      <c r="G78" s="32" t="s">
        <v>76</v>
      </c>
      <c r="H78" s="46"/>
      <c r="I78" s="44"/>
      <c r="J78" s="32"/>
      <c r="K78" s="32"/>
      <c r="L78" s="32"/>
      <c r="M78" s="32"/>
      <c r="N78" s="5"/>
    </row>
    <row r="79" spans="1:14" hidden="1" x14ac:dyDescent="0.25">
      <c r="B79">
        <v>34</v>
      </c>
      <c r="C79" s="26" t="s">
        <v>77</v>
      </c>
      <c r="D79" s="125">
        <f>+D77+D78</f>
        <v>75.211739999999992</v>
      </c>
      <c r="E79" s="201" t="e">
        <f>+E77+E78</f>
        <v>#VALUE!</v>
      </c>
      <c r="F79" s="82"/>
      <c r="H79" s="46"/>
      <c r="I79" s="44"/>
      <c r="J79" s="32"/>
      <c r="K79" s="32"/>
      <c r="L79" s="32"/>
      <c r="M79" s="32"/>
      <c r="N79" s="5"/>
    </row>
    <row r="80" spans="1:14" hidden="1" x14ac:dyDescent="0.25">
      <c r="C80" s="26"/>
      <c r="D80" s="125"/>
      <c r="E80" s="201"/>
      <c r="H80" s="46"/>
      <c r="I80" s="44"/>
      <c r="J80" s="32"/>
      <c r="K80" s="32"/>
      <c r="L80" s="32"/>
      <c r="M80" s="32"/>
      <c r="N80" s="5"/>
    </row>
    <row r="81" spans="3:14" ht="16.5" hidden="1" thickBot="1" x14ac:dyDescent="0.3">
      <c r="C81" s="24"/>
      <c r="D81" s="125"/>
      <c r="E81" s="201"/>
      <c r="H81" s="46"/>
      <c r="I81" s="44"/>
      <c r="J81" s="32"/>
      <c r="K81" s="32"/>
      <c r="L81" s="32"/>
      <c r="M81" s="32"/>
      <c r="N81" s="5"/>
    </row>
    <row r="82" spans="3:14" ht="16.5" hidden="1" thickBot="1" x14ac:dyDescent="0.3">
      <c r="C82" s="216" t="s">
        <v>78</v>
      </c>
      <c r="D82" s="217"/>
      <c r="E82" s="201"/>
      <c r="F82" s="105">
        <f>SUM(IF(D11="MF",G82,IF(D11="TH",H82,IF(D11="SF",I82,IF(D11=" ",0))))+(IF(D10="O",G85,IF(D10="RF",G86,IF(D10="RG",G87,IF(D10="I1",G88,IF(D10="W",G89,IF(D10="H",G90,IF(D10="I2",G91,IF(D10=" ",0))))))))))</f>
        <v>0</v>
      </c>
      <c r="G82" s="100">
        <f>D25*1316</f>
        <v>0</v>
      </c>
      <c r="H82" s="106">
        <f>D25*3159</f>
        <v>0</v>
      </c>
      <c r="I82" s="107">
        <f>D25*4212</f>
        <v>0</v>
      </c>
      <c r="J82" s="32"/>
      <c r="K82" s="32"/>
      <c r="L82" s="32"/>
      <c r="M82" s="32"/>
      <c r="N82" s="5"/>
    </row>
    <row r="83" spans="3:14" hidden="1" x14ac:dyDescent="0.25">
      <c r="C83" s="64" t="s">
        <v>79</v>
      </c>
      <c r="D83" s="128" t="s">
        <v>80</v>
      </c>
      <c r="E83" s="201"/>
      <c r="F83" s="105">
        <f>SUM(IF(D11="MF",G83,IF(D11="TH",H83,IF(D11="SF",I83,IF(D11=" ",0))))+(IF(D11="O",G86,IF(D10="RF",G87,IF(D10="RG",G88,IF(D10="I1",G89,IF(D10="W",G90,IF(D10="H",G91,IF(D10="I2",G92,IF(D10=" ",0))))))))))</f>
        <v>0</v>
      </c>
      <c r="G83" s="100">
        <f>D25*790</f>
        <v>0</v>
      </c>
      <c r="H83" s="106">
        <f>D25*2106</f>
        <v>0</v>
      </c>
      <c r="I83" s="107">
        <f>D25*3159</f>
        <v>0</v>
      </c>
      <c r="J83" s="32"/>
      <c r="K83" s="32"/>
      <c r="L83" s="32"/>
      <c r="M83" s="32"/>
      <c r="N83" s="5"/>
    </row>
    <row r="84" spans="3:14" hidden="1" x14ac:dyDescent="0.25">
      <c r="C84" s="27" t="s">
        <v>174</v>
      </c>
      <c r="D84" s="116">
        <f>+D51+D78</f>
        <v>49.94999</v>
      </c>
      <c r="E84" s="202" t="e">
        <f>+E51+E78</f>
        <v>#VALUE!</v>
      </c>
      <c r="F84" s="105">
        <f>SUM(IF(D11="MF",G84,IF(D11="TH",H84,IF(D11="SF",I84,IF(D11=" ",0))))+(IF(D10="O",G85,IF(D10="RF",G86,IF(D10="RG",G87,IF(D10="I1",G88,IF(D10="W",G89,IF(D10="H",G90,IF(D10="I2",G91,IF(D10=" ",0))))))))))</f>
        <v>0</v>
      </c>
      <c r="G84" s="100">
        <f>D25*263</f>
        <v>0</v>
      </c>
      <c r="H84" s="106">
        <f>D25*11053</f>
        <v>0</v>
      </c>
      <c r="I84" s="107">
        <f>D25*1053</f>
        <v>0</v>
      </c>
      <c r="J84" s="32"/>
      <c r="K84" s="32"/>
      <c r="L84" s="32"/>
      <c r="M84" s="32"/>
      <c r="N84" s="5"/>
    </row>
    <row r="85" spans="3:14" hidden="1" x14ac:dyDescent="0.25">
      <c r="C85" s="27"/>
      <c r="F85" s="28"/>
      <c r="G85" s="1">
        <f>D12*2.11</f>
        <v>0</v>
      </c>
      <c r="H85" s="46"/>
      <c r="I85" s="44"/>
      <c r="J85" s="32"/>
      <c r="K85" s="32"/>
      <c r="L85" s="32"/>
      <c r="M85" s="32"/>
      <c r="N85" s="5"/>
    </row>
    <row r="86" spans="3:14" hidden="1" x14ac:dyDescent="0.25">
      <c r="C86" s="27" t="s">
        <v>81</v>
      </c>
      <c r="D86" s="116">
        <f>+D30+D74</f>
        <v>47.027000000000008</v>
      </c>
      <c r="E86" s="202" t="e">
        <f>+E30+E74</f>
        <v>#VALUE!</v>
      </c>
      <c r="G86" s="1">
        <f>D12*0.53</f>
        <v>0</v>
      </c>
      <c r="H86" s="46"/>
      <c r="I86" s="44"/>
      <c r="J86" s="32"/>
      <c r="K86" s="32"/>
      <c r="L86" s="32"/>
      <c r="M86" s="32"/>
      <c r="N86" s="5"/>
    </row>
    <row r="87" spans="3:14" hidden="1" x14ac:dyDescent="0.25">
      <c r="C87" s="27"/>
      <c r="G87" s="1">
        <f>D12*0</f>
        <v>0</v>
      </c>
      <c r="H87" s="46"/>
      <c r="I87" s="44"/>
      <c r="J87" s="32"/>
      <c r="K87" s="32"/>
      <c r="L87" s="32"/>
      <c r="M87" s="32"/>
      <c r="N87" s="5"/>
    </row>
    <row r="88" spans="3:14" hidden="1" x14ac:dyDescent="0.25">
      <c r="C88" s="27" t="s">
        <v>82</v>
      </c>
      <c r="D88" s="116" t="s">
        <v>83</v>
      </c>
      <c r="E88" s="202" t="s">
        <v>83</v>
      </c>
      <c r="G88" s="1">
        <f>D12*1.05</f>
        <v>0</v>
      </c>
      <c r="H88" s="46"/>
      <c r="I88" s="44"/>
      <c r="J88" s="32"/>
      <c r="K88" s="32"/>
      <c r="L88" s="32"/>
      <c r="M88" s="32"/>
      <c r="N88" s="5"/>
    </row>
    <row r="89" spans="3:14" hidden="1" x14ac:dyDescent="0.25">
      <c r="C89" s="27"/>
      <c r="G89" s="1">
        <f>D12*1.05</f>
        <v>0</v>
      </c>
      <c r="H89" s="46"/>
      <c r="I89" s="44"/>
      <c r="J89" s="32"/>
      <c r="K89" s="32"/>
      <c r="L89" s="32"/>
      <c r="M89" s="32"/>
      <c r="N89" s="5"/>
    </row>
    <row r="90" spans="3:14" hidden="1" x14ac:dyDescent="0.25">
      <c r="C90" s="27" t="s">
        <v>84</v>
      </c>
      <c r="D90" s="116" t="e">
        <f>(D28+D31+D32+D37+D38+D41*0.03+D42+D44+D75+D76)</f>
        <v>#VALUE!</v>
      </c>
      <c r="E90" s="202" t="e">
        <f>(E28+E31+E32+E37+E38+E41*0.03+E42+E44+E75+E76)</f>
        <v>#VALUE!</v>
      </c>
      <c r="G90" s="1">
        <f>D12*0.63</f>
        <v>0</v>
      </c>
      <c r="H90" s="46"/>
      <c r="I90" s="44"/>
      <c r="J90" s="32"/>
      <c r="K90" s="32"/>
      <c r="L90" s="32"/>
      <c r="M90" s="32"/>
      <c r="N90" s="5"/>
    </row>
    <row r="91" spans="3:14" ht="16.5" hidden="1" thickBot="1" x14ac:dyDescent="0.3">
      <c r="C91" s="27"/>
      <c r="G91" s="1">
        <f>D12*3.16</f>
        <v>0</v>
      </c>
      <c r="H91" s="46"/>
      <c r="I91" s="44"/>
      <c r="J91" s="32"/>
      <c r="K91" s="32"/>
      <c r="L91" s="32"/>
      <c r="M91" s="32"/>
      <c r="N91" s="5"/>
    </row>
    <row r="92" spans="3:14" hidden="1" x14ac:dyDescent="0.25">
      <c r="C92" s="27" t="s">
        <v>85</v>
      </c>
      <c r="D92" s="116" t="str">
        <f>+D28</f>
        <v xml:space="preserve"> </v>
      </c>
      <c r="E92" s="202" t="str">
        <f>+E28</f>
        <v xml:space="preserve"> </v>
      </c>
      <c r="F92" s="108">
        <f>IF(D11="MF",G92,IF(D11="TH",H92,IF(D11="SF", I92," ")))</f>
        <v>0</v>
      </c>
      <c r="G92" s="109">
        <f>(D25*23166)</f>
        <v>0</v>
      </c>
      <c r="H92" s="110">
        <f>D25*21060</f>
        <v>0</v>
      </c>
      <c r="I92" s="111">
        <f>D25*24219</f>
        <v>0</v>
      </c>
      <c r="J92" s="32"/>
      <c r="K92" s="32"/>
      <c r="L92" s="32"/>
      <c r="M92" s="32"/>
      <c r="N92" s="5"/>
    </row>
    <row r="93" spans="3:14" hidden="1" x14ac:dyDescent="0.25">
      <c r="C93" s="27"/>
      <c r="F93" s="108">
        <f>IF(D11="MF",G93,IF(D11="TH",H93,IF(D11="SF",I93," ")))</f>
        <v>0</v>
      </c>
      <c r="G93" s="112">
        <f>D25*18691</f>
        <v>0</v>
      </c>
      <c r="H93" s="113">
        <f>D25*15005</f>
        <v>0</v>
      </c>
      <c r="I93" s="111">
        <f>D25*17375</f>
        <v>0</v>
      </c>
      <c r="J93" s="32"/>
      <c r="K93" s="32"/>
      <c r="L93" s="32"/>
      <c r="M93" s="32"/>
      <c r="N93" s="5"/>
    </row>
    <row r="94" spans="3:14" ht="16.5" hidden="1" thickBot="1" x14ac:dyDescent="0.3">
      <c r="C94" s="27" t="s">
        <v>86</v>
      </c>
      <c r="D94" s="116" t="e">
        <f>+D36+D75</f>
        <v>#VALUE!</v>
      </c>
      <c r="E94" s="202">
        <f>+E36+E75</f>
        <v>0</v>
      </c>
      <c r="F94" s="108">
        <f>IF(D11="MF",G94,IF(D11="TH",H94,IF(D11="SF",I94," ")))</f>
        <v>0</v>
      </c>
      <c r="G94" s="114">
        <f>D25*12636</f>
        <v>0</v>
      </c>
      <c r="H94" s="113">
        <f>D25*8424</f>
        <v>0</v>
      </c>
      <c r="I94" s="111">
        <f>D25*8424</f>
        <v>0</v>
      </c>
      <c r="J94" s="32"/>
      <c r="K94" s="32"/>
      <c r="L94" s="32"/>
      <c r="M94" s="32"/>
      <c r="N94" s="5"/>
    </row>
    <row r="95" spans="3:14" hidden="1" x14ac:dyDescent="0.25">
      <c r="C95" s="65"/>
      <c r="I95" s="44"/>
      <c r="J95" s="32"/>
      <c r="K95" s="32"/>
      <c r="L95" s="32"/>
      <c r="M95" s="32"/>
      <c r="N95" s="5"/>
    </row>
    <row r="96" spans="3:14" hidden="1" x14ac:dyDescent="0.25">
      <c r="C96" s="27" t="s">
        <v>87</v>
      </c>
      <c r="D96" s="116">
        <f>IF(OR(D11="MF",D10="O",D10="RF",D10="RG",D10="I1",D10="W",D10="H"),(D27+D45+D46+D47),0)</f>
        <v>0</v>
      </c>
      <c r="E96" s="202">
        <f>IF(OR(E11="MF",E10="O",E10="RF",E10="RG",E10="I1",E10="W",E10="H"),(E27+E45+E46+E47),0)</f>
        <v>0</v>
      </c>
      <c r="J96" s="32"/>
      <c r="K96" s="32"/>
      <c r="L96" s="32"/>
      <c r="M96" s="32"/>
      <c r="N96" s="5"/>
    </row>
    <row r="97" spans="3:14" hidden="1" x14ac:dyDescent="0.25">
      <c r="C97" s="65"/>
      <c r="J97" s="32"/>
      <c r="K97" s="32"/>
      <c r="L97" s="32"/>
      <c r="M97" s="32"/>
      <c r="N97" s="5"/>
    </row>
    <row r="98" spans="3:14" hidden="1" x14ac:dyDescent="0.25">
      <c r="C98" s="27" t="s">
        <v>88</v>
      </c>
      <c r="D98" s="116" t="e">
        <f>IF(OR(D11="TH",D11="SF"),(D27+D45+D46+D47),0)</f>
        <v>#VALUE!</v>
      </c>
      <c r="E98" s="202">
        <f>IF(OR(E11="TH",E11="SF"),(E27+E45+E46+E47),0)</f>
        <v>0</v>
      </c>
      <c r="J98" s="32"/>
      <c r="K98" s="32"/>
      <c r="L98" s="32"/>
      <c r="M98" s="32"/>
      <c r="N98" s="5"/>
    </row>
    <row r="99" spans="3:14" hidden="1" x14ac:dyDescent="0.25">
      <c r="C99" s="65"/>
      <c r="J99" s="32"/>
      <c r="K99" s="32"/>
      <c r="L99" s="32"/>
      <c r="M99" s="32"/>
      <c r="N99" s="5"/>
    </row>
    <row r="100" spans="3:14" hidden="1" x14ac:dyDescent="0.25">
      <c r="C100" s="27" t="s">
        <v>89</v>
      </c>
      <c r="D100" s="116" t="e">
        <f>+D33+D34+D36</f>
        <v>#VALUE!</v>
      </c>
      <c r="E100" s="202">
        <f>+E33+E34+E36</f>
        <v>0</v>
      </c>
      <c r="J100" s="32"/>
      <c r="K100" s="32"/>
      <c r="L100" s="32"/>
      <c r="M100" s="32"/>
      <c r="N100" s="5"/>
    </row>
    <row r="101" spans="3:14" hidden="1" x14ac:dyDescent="0.25">
      <c r="C101" s="65"/>
      <c r="J101" s="32"/>
      <c r="K101" s="32"/>
      <c r="L101" s="32"/>
      <c r="M101" s="32"/>
      <c r="N101" s="5"/>
    </row>
    <row r="102" spans="3:14" hidden="1" x14ac:dyDescent="0.25">
      <c r="C102" s="27" t="s">
        <v>90</v>
      </c>
      <c r="D102" s="129" t="s">
        <v>83</v>
      </c>
      <c r="E102" s="201"/>
      <c r="J102" s="32"/>
      <c r="K102" s="32"/>
      <c r="L102" s="32"/>
      <c r="M102" s="32"/>
      <c r="N102" s="5"/>
    </row>
    <row r="103" spans="3:14" hidden="1" x14ac:dyDescent="0.25">
      <c r="C103" s="65"/>
      <c r="J103" s="32"/>
      <c r="K103" s="32"/>
      <c r="L103" s="32"/>
      <c r="M103" s="32"/>
      <c r="N103" s="5"/>
    </row>
    <row r="104" spans="3:14" hidden="1" x14ac:dyDescent="0.25">
      <c r="C104" s="65" t="s">
        <v>91</v>
      </c>
      <c r="D104" s="116" t="e">
        <f>SUM(D84:D102)</f>
        <v>#VALUE!</v>
      </c>
      <c r="E104" s="202" t="e">
        <f>SUM(E84:E102)</f>
        <v>#VALUE!</v>
      </c>
      <c r="J104" s="32"/>
      <c r="K104" s="32"/>
      <c r="L104" s="32"/>
      <c r="M104" s="32"/>
      <c r="N104" s="5"/>
    </row>
    <row r="105" spans="3:14" hidden="1" x14ac:dyDescent="0.25">
      <c r="J105" s="32"/>
      <c r="K105" s="32"/>
      <c r="L105" s="32"/>
      <c r="M105" s="32"/>
      <c r="N105" s="5"/>
    </row>
    <row r="106" spans="3:14" hidden="1" x14ac:dyDescent="0.25">
      <c r="C106" s="66" t="s">
        <v>92</v>
      </c>
      <c r="D106" s="130" t="s">
        <v>80</v>
      </c>
      <c r="E106" s="201"/>
      <c r="J106" s="32"/>
      <c r="K106" s="32"/>
      <c r="L106" s="32"/>
      <c r="M106" s="32"/>
      <c r="N106" s="5"/>
    </row>
    <row r="107" spans="3:14" hidden="1" x14ac:dyDescent="0.25">
      <c r="C107" s="67" t="s">
        <v>57</v>
      </c>
      <c r="D107" s="126">
        <f>+D65</f>
        <v>0</v>
      </c>
      <c r="E107" s="202">
        <f>+E65</f>
        <v>0</v>
      </c>
      <c r="J107" s="32"/>
      <c r="K107" s="32"/>
      <c r="L107" s="32"/>
      <c r="M107" s="32"/>
      <c r="N107" s="5"/>
    </row>
    <row r="108" spans="3:14" hidden="1" x14ac:dyDescent="0.25">
      <c r="C108" s="67" t="s">
        <v>58</v>
      </c>
      <c r="D108" s="126">
        <f t="shared" ref="D108:E110" si="5">+D66</f>
        <v>0</v>
      </c>
      <c r="E108" s="202">
        <f t="shared" si="5"/>
        <v>0</v>
      </c>
    </row>
    <row r="109" spans="3:14" hidden="1" x14ac:dyDescent="0.25">
      <c r="C109" s="67" t="s">
        <v>59</v>
      </c>
      <c r="D109" s="126">
        <f t="shared" si="5"/>
        <v>0</v>
      </c>
      <c r="E109" s="202">
        <f t="shared" si="5"/>
        <v>0</v>
      </c>
    </row>
    <row r="110" spans="3:14" hidden="1" x14ac:dyDescent="0.25">
      <c r="C110" s="67" t="s">
        <v>66</v>
      </c>
      <c r="D110" s="131" t="str">
        <f t="shared" si="5"/>
        <v xml:space="preserve"> </v>
      </c>
      <c r="E110" s="214">
        <f t="shared" si="5"/>
        <v>0</v>
      </c>
    </row>
    <row r="111" spans="3:14" hidden="1" x14ac:dyDescent="0.25">
      <c r="C111" s="67" t="s">
        <v>91</v>
      </c>
      <c r="D111" s="116">
        <f>SUM(D107:D110)</f>
        <v>0</v>
      </c>
      <c r="E111" s="202">
        <f>SUM(E107:E110)</f>
        <v>0</v>
      </c>
    </row>
    <row r="112" spans="3:14" hidden="1" x14ac:dyDescent="0.25"/>
    <row r="113" hidden="1" x14ac:dyDescent="0.25"/>
  </sheetData>
  <sheetProtection algorithmName="SHA-512" hashValue="aNpUvzhD06QeHdZcuj+zKr9ixTrVVSujw5FnG8DHm5rUqrs/A55W3ymKnw324PH1sGbjJ/TKRmZc1+MvOl5qzw==" saltValue="OkGNRWMaml+TV+yJRv2g+g==" spinCount="100000" sheet="1" objects="1" scenarios="1"/>
  <protectedRanges>
    <protectedRange algorithmName="SHA-512" hashValue="Mfsiv8vhXo/rREaUAlYCjyhf1oE8wW4hM2willUW5v7Y1evXK46k9dvae+4sfgdq+4zlYxuHidVaM15f9sE6pw==" saltValue="0Z2dfGfLI+3vm+dt6FiaQg==" spinCount="100000" sqref="D3:E24" name="Range1"/>
  </protectedRanges>
  <mergeCells count="2">
    <mergeCell ref="M1:Q1"/>
    <mergeCell ref="C82:D82"/>
  </mergeCells>
  <hyperlinks>
    <hyperlink ref="A15" r:id="rId1" xr:uid="{0422326B-5006-49E0-947D-DCBBB2BEFCCE}"/>
  </hyperlinks>
  <pageMargins left="0.7" right="0.7" top="0.75" bottom="0.75" header="0.3" footer="0.3"/>
  <pageSetup orientation="portrait" r:id="rId2"/>
  <drawing r:id="rId3"/>
  <legacyDrawing r:id="rId4"/>
  <oleObjects>
    <mc:AlternateContent xmlns:mc="http://schemas.openxmlformats.org/markup-compatibility/2006">
      <mc:Choice Requires="x14">
        <oleObject shapeId="1038" r:id="rId5">
          <objectPr defaultSize="0" autoPict="0" r:id="rId6">
            <anchor moveWithCells="1" sizeWithCells="1">
              <from>
                <xdr:col>0</xdr:col>
                <xdr:colOff>28575</xdr:colOff>
                <xdr:row>0</xdr:row>
                <xdr:rowOff>38100</xdr:rowOff>
              </from>
              <to>
                <xdr:col>0</xdr:col>
                <xdr:colOff>1733550</xdr:colOff>
                <xdr:row>3</xdr:row>
                <xdr:rowOff>0</xdr:rowOff>
              </to>
            </anchor>
          </objectPr>
        </oleObject>
      </mc:Choice>
      <mc:Fallback>
        <oleObject shapeId="1038"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Diana</dc:creator>
  <cp:keywords/>
  <dc:description/>
  <cp:lastModifiedBy>Rex, Diana</cp:lastModifiedBy>
  <cp:revision/>
  <dcterms:created xsi:type="dcterms:W3CDTF">2019-03-07T20:46:00Z</dcterms:created>
  <dcterms:modified xsi:type="dcterms:W3CDTF">2021-12-28T19:19:06Z</dcterms:modified>
  <cp:category/>
  <cp:contentStatus/>
</cp:coreProperties>
</file>