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120" windowWidth="32767" windowHeight="17610" activeTab="0"/>
  </bookViews>
  <sheets>
    <sheet name="Capital Improvement Calculator" sheetId="1" r:id="rId1"/>
    <sheet name="Imputed Interest Rates" sheetId="2" r:id="rId2"/>
    <sheet name="Amortization Schedule" sheetId="3" r:id="rId3"/>
  </sheets>
  <definedNames>
    <definedName name="_xlfn.CONCAT" hidden="1">#NAME?</definedName>
    <definedName name="Allowable_Building_Wide_CI">#REF!</definedName>
    <definedName name="Amort_UnitSpecif_Total">#REF!</definedName>
    <definedName name="BuildingWide">#REF!</definedName>
    <definedName name="CI_UnitSpecific_Total">#REF!</definedName>
    <definedName name="EffectiveDate" localSheetId="0">'Capital Improvement Calculator'!$J$4</definedName>
    <definedName name="EndRow1">#REF!</definedName>
    <definedName name="EndRow2">#REF!</definedName>
    <definedName name="EndRow3">#REF!</definedName>
    <definedName name="isMixed">'Capital Improvement Calculator'!$B$19</definedName>
    <definedName name="NonResSqFt">#REF!</definedName>
    <definedName name="NumberUnits">'Capital Improvement Calculator'!$J$3</definedName>
    <definedName name="PetitionDate">'Capital Improvement Calculator'!$J$2</definedName>
    <definedName name="RESPCT">'Capital Improvement Calculator'!$B$22</definedName>
    <definedName name="ResSqFt">#REF!</definedName>
    <definedName name="SubTotal">'Capital Improvement Calculator'!$J$18</definedName>
    <definedName name="TotalParticular">#REF!</definedName>
    <definedName name="TotalPatricular">#REF!</definedName>
    <definedName name="Unit">#REF!</definedName>
  </definedNames>
  <calcPr fullCalcOnLoad="1"/>
</workbook>
</file>

<file path=xl/sharedStrings.xml><?xml version="1.0" encoding="utf-8"?>
<sst xmlns="http://schemas.openxmlformats.org/spreadsheetml/2006/main" count="643" uniqueCount="145">
  <si>
    <t>IMPROVEMENT OR REPAIR</t>
  </si>
  <si>
    <t>DATE COMPLETED</t>
  </si>
  <si>
    <t>Residential square footage</t>
  </si>
  <si>
    <t>Other use square footage</t>
  </si>
  <si>
    <t>Percent residential use</t>
  </si>
  <si>
    <t>Unit</t>
  </si>
  <si>
    <t>Current Rent</t>
  </si>
  <si>
    <t>FULL COST</t>
  </si>
  <si>
    <t>Number of Residential Units</t>
  </si>
  <si>
    <t>Total Cost Per Unit Allocated to Residential Units</t>
  </si>
  <si>
    <t>Date Validation (2 years ago max)</t>
  </si>
  <si>
    <t>IMPROVEMENTS BENEFITING ALL UNITS BUILDING WIDE</t>
  </si>
  <si>
    <t>IMPROVEMENTS LIMITED TO SPECIFIC UNITS</t>
  </si>
  <si>
    <t>TOTAL RENT INCREASE FOR EACH UNIT</t>
  </si>
  <si>
    <t>Imputed Interest</t>
  </si>
  <si>
    <t xml:space="preserve">Allowable Amortized Cost per Unit </t>
  </si>
  <si>
    <t>Amortization Period (years)</t>
  </si>
  <si>
    <t>Petition Date</t>
  </si>
  <si>
    <t>Subtotal (with weighted averages)</t>
  </si>
  <si>
    <t>Unit Number:</t>
  </si>
  <si>
    <t>Weighted Average of unit specific improvements:</t>
  </si>
  <si>
    <t>Combined unit specific with building wide</t>
  </si>
  <si>
    <t>Percent Increase</t>
  </si>
  <si>
    <t>Allowable Monthly Amortized Cost For Building (70%)</t>
  </si>
  <si>
    <t>ALLOWABLE PASS THROUGH (70%)</t>
  </si>
  <si>
    <t>ALLOWABLE PASS THROUGH PER UNIT</t>
  </si>
  <si>
    <t>ADJUSTED AMORTIZATION PERIOD</t>
  </si>
  <si>
    <t>Allowed Monthly Increase</t>
  </si>
  <si>
    <t>DATE PERMIT OBTAINED (or date started if permits not required)</t>
  </si>
  <si>
    <t>Place X in cell B19 if property is mixed use.</t>
  </si>
  <si>
    <t xml:space="preserve">COST </t>
  </si>
  <si>
    <t>Allowed Pass Through per Unit (from F23 if building wide only)</t>
  </si>
  <si>
    <t>DATE PERMIT OBTAINED (or date started if permit not required)</t>
  </si>
  <si>
    <t>10 Year Libor Rates</t>
  </si>
  <si>
    <t>10 Year Treasury Bill Rate</t>
  </si>
  <si>
    <t>Average</t>
  </si>
  <si>
    <t>Amortization Schedule</t>
  </si>
  <si>
    <t>Air Conditioners</t>
  </si>
  <si>
    <t>Improvement</t>
  </si>
  <si>
    <t>Years</t>
  </si>
  <si>
    <t>Appliances</t>
  </si>
  <si>
    <t>Refridgerator</t>
  </si>
  <si>
    <t>Stove</t>
  </si>
  <si>
    <t>Garbage Disposal</t>
  </si>
  <si>
    <t>Water Heater</t>
  </si>
  <si>
    <t>Dishwasher</t>
  </si>
  <si>
    <t>Microwave Oven</t>
  </si>
  <si>
    <t>Washer/Dryer</t>
  </si>
  <si>
    <t>Fans</t>
  </si>
  <si>
    <t>Cabinets</t>
  </si>
  <si>
    <t>Carpentry</t>
  </si>
  <si>
    <t>Counters</t>
  </si>
  <si>
    <t>Doors</t>
  </si>
  <si>
    <t>Knobs</t>
  </si>
  <si>
    <t>Screen Doors</t>
  </si>
  <si>
    <t>Earthquake Expenses</t>
  </si>
  <si>
    <t>Architectural and Engineering Fees</t>
  </si>
  <si>
    <t>Emergency Services</t>
  </si>
  <si>
    <t>Clean Up</t>
  </si>
  <si>
    <t>Fencing and Security</t>
  </si>
  <si>
    <t>Management</t>
  </si>
  <si>
    <t>Tenant Assistance</t>
  </si>
  <si>
    <t>Structural Repair and Retrofitting</t>
  </si>
  <si>
    <t>Foundation Repair</t>
  </si>
  <si>
    <t>Foundation Replacement</t>
  </si>
  <si>
    <t>Foundation Bolting</t>
  </si>
  <si>
    <t>Iron or Steel Work</t>
  </si>
  <si>
    <t>Masonry-Chimney Repair</t>
  </si>
  <si>
    <t>Shear Wall Installation</t>
  </si>
  <si>
    <t>Electrical Wiring</t>
  </si>
  <si>
    <t>Elevator</t>
  </si>
  <si>
    <t>Chain</t>
  </si>
  <si>
    <t>Block</t>
  </si>
  <si>
    <t>Wood</t>
  </si>
  <si>
    <t>Fire Alarm System</t>
  </si>
  <si>
    <t>Fire Escape</t>
  </si>
  <si>
    <t>Flooring/Floor Covering</t>
  </si>
  <si>
    <t>Hardwood</t>
  </si>
  <si>
    <t>Tile and Linoleum</t>
  </si>
  <si>
    <t>Carpet</t>
  </si>
  <si>
    <t>Carpet Pad</t>
  </si>
  <si>
    <t>Subfloor</t>
  </si>
  <si>
    <t>Fumigation</t>
  </si>
  <si>
    <t>Tenting</t>
  </si>
  <si>
    <t>Furniture</t>
  </si>
  <si>
    <t>Garage Door Openers (Automatic)</t>
  </si>
  <si>
    <t>Gates</t>
  </si>
  <si>
    <t>Chain Link</t>
  </si>
  <si>
    <t>Wrought Iron</t>
  </si>
  <si>
    <t>Glass</t>
  </si>
  <si>
    <t>Windows</t>
  </si>
  <si>
    <t>Mirrors</t>
  </si>
  <si>
    <t>Heating</t>
  </si>
  <si>
    <t>Central</t>
  </si>
  <si>
    <t>Gas</t>
  </si>
  <si>
    <t>Electric</t>
  </si>
  <si>
    <t>Solar</t>
  </si>
  <si>
    <t>Insulation</t>
  </si>
  <si>
    <t>Landscaping</t>
  </si>
  <si>
    <t>Planting</t>
  </si>
  <si>
    <t>Sprinklers</t>
  </si>
  <si>
    <t>Tree Replacement</t>
  </si>
  <si>
    <t>Lighting</t>
  </si>
  <si>
    <t>Interior</t>
  </si>
  <si>
    <t>Exterior</t>
  </si>
  <si>
    <t>Locks</t>
  </si>
  <si>
    <t>Mailboxes</t>
  </si>
  <si>
    <t>Meters</t>
  </si>
  <si>
    <t>Plumbing</t>
  </si>
  <si>
    <t>Fixtures</t>
  </si>
  <si>
    <t>Pipe Replacement</t>
  </si>
  <si>
    <t>Re-Pipe Entire Building</t>
  </si>
  <si>
    <t>Shower Doors</t>
  </si>
  <si>
    <t>Painting</t>
  </si>
  <si>
    <t>Paving</t>
  </si>
  <si>
    <t>Asphalt</t>
  </si>
  <si>
    <t>Cement</t>
  </si>
  <si>
    <t>Decking</t>
  </si>
  <si>
    <t>Plastering</t>
  </si>
  <si>
    <t>Pumps</t>
  </si>
  <si>
    <t>Sump</t>
  </si>
  <si>
    <t>Railing</t>
  </si>
  <si>
    <t>Roofing</t>
  </si>
  <si>
    <t>Shingle/Asphalt</t>
  </si>
  <si>
    <t>Built-Up, Tar and Gravel</t>
  </si>
  <si>
    <t>Gutters/Downspouts</t>
  </si>
  <si>
    <t>Security</t>
  </si>
  <si>
    <t>Entry Telephone Intercom</t>
  </si>
  <si>
    <t>Gates/Doors</t>
  </si>
  <si>
    <t>Fencing</t>
  </si>
  <si>
    <t>Alarms</t>
  </si>
  <si>
    <t>Sidewalks/Walkways</t>
  </si>
  <si>
    <t>Stairs</t>
  </si>
  <si>
    <t>Tilework</t>
  </si>
  <si>
    <t>Wallpaper</t>
  </si>
  <si>
    <t>Window Coverings</t>
  </si>
  <si>
    <t>Drapes</t>
  </si>
  <si>
    <t>Shades</t>
  </si>
  <si>
    <t>Screens</t>
  </si>
  <si>
    <t>Awnings</t>
  </si>
  <si>
    <t>Blinds/Miniblinds</t>
  </si>
  <si>
    <t>Shutters</t>
  </si>
  <si>
    <t>Date Permit Obtained</t>
  </si>
  <si>
    <t>Fire Sprinkler System</t>
  </si>
  <si>
    <t>Out of range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</si>
</sst>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m/d/yy;@"/>
    <numFmt numFmtId="167" formatCode="mm/dd/yy;@"/>
    <numFmt numFmtId="168" formatCode="0.00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Arial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 style="hair"/>
      <right style="hair"/>
      <top style="hair"/>
      <bottom/>
    </border>
    <border>
      <left style="hair"/>
      <right style="hair"/>
      <top style="hair"/>
      <bottom style="thin"/>
    </border>
    <border>
      <left style="hair"/>
      <right style="hair"/>
      <top/>
      <bottom style="hair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/>
      <top style="hair"/>
      <bottom/>
    </border>
    <border>
      <left style="hair"/>
      <right/>
      <top style="hair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/>
      <bottom style="hair"/>
    </border>
    <border>
      <left style="hair"/>
      <right/>
      <top style="hair"/>
      <bottom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hair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/>
      <right/>
      <top style="thin"/>
      <bottom style="thin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thin"/>
      <right style="thin"/>
      <top/>
      <bottom style="thin"/>
    </border>
    <border>
      <left/>
      <right style="thin"/>
      <top style="hair"/>
      <bottom style="thin"/>
    </border>
    <border>
      <left style="hair"/>
      <right style="hair"/>
      <top/>
      <bottom style="thin"/>
    </border>
    <border>
      <left style="hair"/>
      <right style="hair"/>
      <top/>
      <bottom/>
    </border>
    <border>
      <left style="hair"/>
      <right/>
      <top style="hair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9" fillId="14" borderId="0" applyNumberFormat="0" applyBorder="0" applyAlignment="0" applyProtection="0"/>
    <xf numFmtId="0" fontId="0" fillId="15" borderId="0" applyNumberFormat="0" applyBorder="0" applyAlignment="0" applyProtection="0"/>
    <xf numFmtId="0" fontId="29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7" borderId="0" applyNumberFormat="0" applyBorder="0" applyAlignment="0" applyProtection="0"/>
    <xf numFmtId="0" fontId="0" fillId="18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89">
    <xf numFmtId="0" fontId="0" fillId="0" borderId="0" xfId="0" applyFont="1" applyAlignment="1">
      <alignment/>
    </xf>
    <xf numFmtId="1" fontId="0" fillId="33" borderId="10" xfId="0" applyNumberFormat="1" applyFill="1" applyBorder="1" applyAlignment="1" applyProtection="1">
      <alignment/>
      <protection locked="0"/>
    </xf>
    <xf numFmtId="165" fontId="0" fillId="33" borderId="11" xfId="48" applyNumberFormat="1" applyFont="1" applyFill="1" applyBorder="1" applyAlignment="1" applyProtection="1">
      <alignment/>
      <protection locked="0"/>
    </xf>
    <xf numFmtId="166" fontId="0" fillId="33" borderId="12" xfId="0" applyNumberFormat="1" applyFill="1" applyBorder="1" applyAlignment="1" applyProtection="1">
      <alignment/>
      <protection locked="0"/>
    </xf>
    <xf numFmtId="167" fontId="0" fillId="33" borderId="11" xfId="0" applyNumberFormat="1" applyFill="1" applyBorder="1" applyAlignment="1" applyProtection="1">
      <alignment/>
      <protection locked="0"/>
    </xf>
    <xf numFmtId="8" fontId="0" fillId="34" borderId="11" xfId="0" applyNumberFormat="1" applyFill="1" applyBorder="1" applyAlignment="1" applyProtection="1">
      <alignment/>
      <protection/>
    </xf>
    <xf numFmtId="164" fontId="0" fillId="35" borderId="11" xfId="0" applyNumberFormat="1" applyFill="1" applyBorder="1" applyAlignment="1" applyProtection="1">
      <alignment/>
      <protection locked="0"/>
    </xf>
    <xf numFmtId="167" fontId="0" fillId="33" borderId="13" xfId="0" applyNumberFormat="1" applyFill="1" applyBorder="1" applyAlignment="1" applyProtection="1">
      <alignment/>
      <protection locked="0"/>
    </xf>
    <xf numFmtId="164" fontId="0" fillId="33" borderId="11" xfId="0" applyNumberFormat="1" applyFill="1" applyBorder="1" applyAlignment="1" applyProtection="1">
      <alignment horizontal="center"/>
      <protection locked="0"/>
    </xf>
    <xf numFmtId="167" fontId="0" fillId="33" borderId="14" xfId="0" applyNumberFormat="1" applyFill="1" applyBorder="1" applyAlignment="1" applyProtection="1">
      <alignment/>
      <protection locked="0"/>
    </xf>
    <xf numFmtId="164" fontId="0" fillId="33" borderId="14" xfId="0" applyNumberFormat="1" applyFill="1" applyBorder="1" applyAlignment="1" applyProtection="1">
      <alignment horizontal="center"/>
      <protection locked="0"/>
    </xf>
    <xf numFmtId="165" fontId="0" fillId="33" borderId="15" xfId="48" applyNumberFormat="1" applyFont="1" applyFill="1" applyBorder="1" applyAlignment="1" applyProtection="1">
      <alignment/>
      <protection locked="0"/>
    </xf>
    <xf numFmtId="164" fontId="0" fillId="33" borderId="15" xfId="0" applyNumberFormat="1" applyFill="1" applyBorder="1" applyAlignment="1" applyProtection="1">
      <alignment horizontal="center"/>
      <protection locked="0"/>
    </xf>
    <xf numFmtId="167" fontId="0" fillId="33" borderId="15" xfId="0" applyNumberFormat="1" applyFill="1" applyBorder="1" applyAlignment="1" applyProtection="1">
      <alignment/>
      <protection locked="0"/>
    </xf>
    <xf numFmtId="164" fontId="6" fillId="0" borderId="16" xfId="0" applyNumberFormat="1" applyFont="1" applyFill="1" applyBorder="1" applyAlignment="1" applyProtection="1">
      <alignment/>
      <protection/>
    </xf>
    <xf numFmtId="164" fontId="6" fillId="0" borderId="17" xfId="0" applyNumberFormat="1" applyFont="1" applyFill="1" applyBorder="1" applyAlignment="1" applyProtection="1">
      <alignment/>
      <protection/>
    </xf>
    <xf numFmtId="164" fontId="6" fillId="0" borderId="18" xfId="0" applyNumberFormat="1" applyFont="1" applyFill="1" applyBorder="1" applyAlignment="1" applyProtection="1">
      <alignment/>
      <protection/>
    </xf>
    <xf numFmtId="8" fontId="0" fillId="33" borderId="19" xfId="0" applyNumberFormat="1" applyFill="1" applyBorder="1" applyAlignment="1" applyProtection="1">
      <alignment/>
      <protection locked="0"/>
    </xf>
    <xf numFmtId="8" fontId="0" fillId="34" borderId="20" xfId="0" applyNumberFormat="1" applyFill="1" applyBorder="1" applyAlignment="1" applyProtection="1">
      <alignment/>
      <protection/>
    </xf>
    <xf numFmtId="8" fontId="0" fillId="34" borderId="17" xfId="0" applyNumberFormat="1" applyFill="1" applyBorder="1" applyAlignment="1" applyProtection="1">
      <alignment/>
      <protection/>
    </xf>
    <xf numFmtId="8" fontId="0" fillId="33" borderId="21" xfId="0" applyNumberFormat="1" applyFill="1" applyBorder="1" applyAlignment="1" applyProtection="1">
      <alignment/>
      <protection locked="0"/>
    </xf>
    <xf numFmtId="8" fontId="0" fillId="33" borderId="11" xfId="0" applyNumberFormat="1" applyFill="1" applyBorder="1" applyAlignment="1" applyProtection="1">
      <alignment/>
      <protection locked="0"/>
    </xf>
    <xf numFmtId="1" fontId="0" fillId="33" borderId="21" xfId="48" applyNumberFormat="1" applyFont="1" applyFill="1" applyBorder="1" applyAlignment="1" applyProtection="1">
      <alignment/>
      <protection locked="0"/>
    </xf>
    <xf numFmtId="1" fontId="0" fillId="33" borderId="11" xfId="48" applyNumberFormat="1" applyFont="1" applyFill="1" applyBorder="1" applyAlignment="1" applyProtection="1">
      <alignment/>
      <protection locked="0"/>
    </xf>
    <xf numFmtId="164" fontId="0" fillId="34" borderId="15" xfId="0" applyNumberFormat="1" applyFill="1" applyBorder="1" applyAlignment="1" applyProtection="1">
      <alignment horizontal="center"/>
      <protection locked="0"/>
    </xf>
    <xf numFmtId="164" fontId="0" fillId="34" borderId="15" xfId="0" applyNumberFormat="1" applyFill="1" applyBorder="1" applyAlignment="1" applyProtection="1">
      <alignment horizontal="center"/>
      <protection/>
    </xf>
    <xf numFmtId="164" fontId="0" fillId="34" borderId="14" xfId="0" applyNumberFormat="1" applyFill="1" applyBorder="1" applyAlignment="1" applyProtection="1">
      <alignment horizontal="center"/>
      <protection/>
    </xf>
    <xf numFmtId="164" fontId="0" fillId="34" borderId="14" xfId="0" applyNumberFormat="1" applyFill="1" applyBorder="1" applyAlignment="1" applyProtection="1">
      <alignment horizontal="center"/>
      <protection locked="0"/>
    </xf>
    <xf numFmtId="164" fontId="0" fillId="34" borderId="11" xfId="0" applyNumberFormat="1" applyFill="1" applyBorder="1" applyAlignment="1" applyProtection="1">
      <alignment horizontal="center"/>
      <protection/>
    </xf>
    <xf numFmtId="164" fontId="0" fillId="34" borderId="21" xfId="0" applyNumberFormat="1" applyFill="1" applyBorder="1" applyAlignment="1" applyProtection="1">
      <alignment horizontal="center"/>
      <protection/>
    </xf>
    <xf numFmtId="3" fontId="0" fillId="35" borderId="22" xfId="0" applyNumberFormat="1" applyFill="1" applyBorder="1" applyAlignment="1" applyProtection="1">
      <alignment/>
      <protection locked="0"/>
    </xf>
    <xf numFmtId="0" fontId="0" fillId="35" borderId="23" xfId="0" applyFill="1" applyBorder="1" applyAlignment="1" applyProtection="1">
      <alignment horizontal="center"/>
      <protection locked="0"/>
    </xf>
    <xf numFmtId="0" fontId="0" fillId="35" borderId="24" xfId="0" applyFill="1" applyBorder="1" applyAlignment="1" applyProtection="1">
      <alignment horizontal="center"/>
      <protection locked="0"/>
    </xf>
    <xf numFmtId="164" fontId="0" fillId="35" borderId="15" xfId="0" applyNumberFormat="1" applyFill="1" applyBorder="1" applyAlignment="1" applyProtection="1">
      <alignment/>
      <protection locked="0"/>
    </xf>
    <xf numFmtId="8" fontId="0" fillId="33" borderId="25" xfId="0" applyNumberFormat="1" applyFill="1" applyBorder="1" applyAlignment="1" applyProtection="1">
      <alignment/>
      <protection locked="0"/>
    </xf>
    <xf numFmtId="8" fontId="0" fillId="34" borderId="13" xfId="0" applyNumberFormat="1" applyFill="1" applyBorder="1" applyAlignment="1" applyProtection="1">
      <alignment/>
      <protection/>
    </xf>
    <xf numFmtId="1" fontId="0" fillId="33" borderId="13" xfId="48" applyNumberFormat="1" applyFont="1" applyFill="1" applyBorder="1" applyAlignment="1" applyProtection="1">
      <alignment/>
      <protection locked="0"/>
    </xf>
    <xf numFmtId="8" fontId="0" fillId="34" borderId="26" xfId="0" applyNumberFormat="1" applyFill="1" applyBorder="1" applyAlignment="1" applyProtection="1">
      <alignment/>
      <protection/>
    </xf>
    <xf numFmtId="8" fontId="0" fillId="34" borderId="27" xfId="0" applyNumberFormat="1" applyFill="1" applyBorder="1" applyAlignment="1" applyProtection="1">
      <alignment/>
      <protection/>
    </xf>
    <xf numFmtId="9" fontId="0" fillId="0" borderId="22" xfId="0" applyNumberFormat="1" applyFill="1" applyBorder="1" applyAlignment="1" applyProtection="1">
      <alignment/>
      <protection/>
    </xf>
    <xf numFmtId="38" fontId="0" fillId="34" borderId="27" xfId="0" applyNumberFormat="1" applyFill="1" applyBorder="1" applyAlignment="1" applyProtection="1">
      <alignment/>
      <protection/>
    </xf>
    <xf numFmtId="164" fontId="0" fillId="34" borderId="16" xfId="0" applyNumberFormat="1" applyFill="1" applyBorder="1" applyAlignment="1" applyProtection="1">
      <alignment horizontal="center"/>
      <protection/>
    </xf>
    <xf numFmtId="165" fontId="0" fillId="33" borderId="13" xfId="48" applyNumberFormat="1" applyFont="1" applyFill="1" applyBorder="1" applyAlignment="1" applyProtection="1">
      <alignment/>
      <protection locked="0"/>
    </xf>
    <xf numFmtId="38" fontId="0" fillId="34" borderId="21" xfId="0" applyNumberFormat="1" applyFill="1" applyBorder="1" applyAlignment="1" applyProtection="1">
      <alignment/>
      <protection/>
    </xf>
    <xf numFmtId="38" fontId="0" fillId="34" borderId="11" xfId="0" applyNumberFormat="1" applyFill="1" applyBorder="1" applyAlignment="1" applyProtection="1">
      <alignment/>
      <protection/>
    </xf>
    <xf numFmtId="0" fontId="47" fillId="36" borderId="28" xfId="0" applyFont="1" applyFill="1" applyBorder="1" applyAlignment="1" applyProtection="1">
      <alignment vertical="center"/>
      <protection locked="0"/>
    </xf>
    <xf numFmtId="167" fontId="32" fillId="36" borderId="29" xfId="0" applyNumberFormat="1" applyFont="1" applyFill="1" applyBorder="1" applyAlignment="1" applyProtection="1">
      <alignment/>
      <protection locked="0"/>
    </xf>
    <xf numFmtId="0" fontId="32" fillId="36" borderId="29" xfId="0" applyFont="1" applyFill="1" applyBorder="1" applyAlignment="1" applyProtection="1">
      <alignment/>
      <protection locked="0"/>
    </xf>
    <xf numFmtId="0" fontId="47" fillId="36" borderId="29" xfId="0" applyFont="1" applyFill="1" applyBorder="1" applyAlignment="1" applyProtection="1">
      <alignment/>
      <protection locked="0"/>
    </xf>
    <xf numFmtId="0" fontId="32" fillId="36" borderId="3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167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/>
      <protection locked="0"/>
    </xf>
    <xf numFmtId="8" fontId="0" fillId="34" borderId="33" xfId="0" applyNumberFormat="1" applyFill="1" applyBorder="1" applyAlignment="1" applyProtection="1">
      <alignment/>
      <protection locked="0"/>
    </xf>
    <xf numFmtId="8" fontId="0" fillId="34" borderId="27" xfId="0" applyNumberFormat="1" applyFill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 locked="0"/>
    </xf>
    <xf numFmtId="4" fontId="0" fillId="0" borderId="32" xfId="0" applyNumberFormat="1" applyFill="1" applyBorder="1" applyAlignment="1" applyProtection="1">
      <alignment/>
      <protection locked="0"/>
    </xf>
    <xf numFmtId="167" fontId="0" fillId="0" borderId="0" xfId="0" applyNumberFormat="1" applyFill="1" applyBorder="1" applyAlignment="1" applyProtection="1">
      <alignment horizontal="right"/>
      <protection locked="0"/>
    </xf>
    <xf numFmtId="9" fontId="0" fillId="0" borderId="0" xfId="0" applyNumberFormat="1" applyFill="1" applyBorder="1" applyAlignment="1" applyProtection="1">
      <alignment/>
      <protection locked="0"/>
    </xf>
    <xf numFmtId="9" fontId="0" fillId="0" borderId="34" xfId="0" applyNumberFormat="1" applyFill="1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0" fillId="37" borderId="36" xfId="0" applyFill="1" applyBorder="1" applyAlignment="1" applyProtection="1">
      <alignment/>
      <protection locked="0"/>
    </xf>
    <xf numFmtId="167" fontId="48" fillId="37" borderId="33" xfId="0" applyNumberFormat="1" applyFont="1" applyFill="1" applyBorder="1" applyAlignment="1" applyProtection="1">
      <alignment/>
      <protection locked="0"/>
    </xf>
    <xf numFmtId="15" fontId="48" fillId="37" borderId="27" xfId="0" applyNumberFormat="1" applyFont="1" applyFill="1" applyBorder="1" applyAlignment="1" applyProtection="1">
      <alignment horizontal="right"/>
      <protection locked="0"/>
    </xf>
    <xf numFmtId="164" fontId="29" fillId="37" borderId="27" xfId="0" applyNumberFormat="1" applyFont="1" applyFill="1" applyBorder="1" applyAlignment="1" applyProtection="1">
      <alignment/>
      <protection locked="0"/>
    </xf>
    <xf numFmtId="0" fontId="6" fillId="37" borderId="37" xfId="0" applyFont="1" applyFill="1" applyBorder="1" applyAlignment="1" applyProtection="1">
      <alignment/>
      <protection locked="0"/>
    </xf>
    <xf numFmtId="167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32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7" fontId="29" fillId="36" borderId="29" xfId="0" applyNumberFormat="1" applyFont="1" applyFill="1" applyBorder="1" applyAlignment="1" applyProtection="1">
      <alignment/>
      <protection locked="0"/>
    </xf>
    <xf numFmtId="8" fontId="29" fillId="36" borderId="29" xfId="0" applyNumberFormat="1" applyFont="1" applyFill="1" applyBorder="1" applyAlignment="1" applyProtection="1">
      <alignment/>
      <protection locked="0"/>
    </xf>
    <xf numFmtId="1" fontId="29" fillId="36" borderId="29" xfId="0" applyNumberFormat="1" applyFont="1" applyFill="1" applyBorder="1" applyAlignment="1" applyProtection="1">
      <alignment/>
      <protection locked="0"/>
    </xf>
    <xf numFmtId="4" fontId="29" fillId="36" borderId="29" xfId="0" applyNumberFormat="1" applyFont="1" applyFill="1" applyBorder="1" applyAlignment="1" applyProtection="1">
      <alignment/>
      <protection locked="0"/>
    </xf>
    <xf numFmtId="0" fontId="29" fillId="36" borderId="29" xfId="0" applyFont="1" applyFill="1" applyBorder="1" applyAlignment="1" applyProtection="1">
      <alignment/>
      <protection locked="0"/>
    </xf>
    <xf numFmtId="0" fontId="6" fillId="36" borderId="30" xfId="0" applyFont="1" applyFill="1" applyBorder="1" applyAlignment="1" applyProtection="1">
      <alignment/>
      <protection locked="0"/>
    </xf>
    <xf numFmtId="167" fontId="0" fillId="0" borderId="34" xfId="0" applyNumberFormat="1" applyFill="1" applyBorder="1" applyAlignment="1" applyProtection="1">
      <alignment/>
      <protection locked="0"/>
    </xf>
    <xf numFmtId="15" fontId="0" fillId="0" borderId="34" xfId="0" applyNumberFormat="1" applyFill="1" applyBorder="1" applyAlignment="1" applyProtection="1">
      <alignment horizontal="right"/>
      <protection locked="0"/>
    </xf>
    <xf numFmtId="0" fontId="0" fillId="0" borderId="34" xfId="0" applyFill="1" applyBorder="1" applyAlignment="1" applyProtection="1">
      <alignment horizontal="right"/>
      <protection locked="0"/>
    </xf>
    <xf numFmtId="164" fontId="29" fillId="0" borderId="34" xfId="0" applyNumberFormat="1" applyFont="1" applyFill="1" applyBorder="1" applyAlignment="1" applyProtection="1">
      <alignment/>
      <protection locked="0"/>
    </xf>
    <xf numFmtId="164" fontId="0" fillId="0" borderId="34" xfId="0" applyNumberFormat="1" applyFill="1" applyBorder="1" applyAlignment="1" applyProtection="1">
      <alignment/>
      <protection locked="0"/>
    </xf>
    <xf numFmtId="0" fontId="6" fillId="0" borderId="34" xfId="0" applyFont="1" applyFill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35" borderId="37" xfId="0" applyNumberFormat="1" applyFill="1" applyBorder="1" applyAlignment="1" applyProtection="1">
      <alignment/>
      <protection locked="0"/>
    </xf>
    <xf numFmtId="164" fontId="0" fillId="35" borderId="22" xfId="0" applyNumberFormat="1" applyFill="1" applyBorder="1" applyAlignment="1" applyProtection="1">
      <alignment/>
      <protection locked="0"/>
    </xf>
    <xf numFmtId="0" fontId="0" fillId="34" borderId="38" xfId="0" applyFill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6" fillId="0" borderId="27" xfId="0" applyFont="1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8" fontId="0" fillId="0" borderId="15" xfId="0" applyNumberFormat="1" applyFill="1" applyBorder="1" applyAlignment="1" applyProtection="1">
      <alignment/>
      <protection locked="0"/>
    </xf>
    <xf numFmtId="8" fontId="0" fillId="0" borderId="14" xfId="0" applyNumberFormat="1" applyFill="1" applyBorder="1" applyAlignment="1" applyProtection="1">
      <alignment/>
      <protection locked="0"/>
    </xf>
    <xf numFmtId="0" fontId="6" fillId="34" borderId="24" xfId="0" applyFont="1" applyFill="1" applyBorder="1" applyAlignment="1" applyProtection="1">
      <alignment/>
      <protection locked="0"/>
    </xf>
    <xf numFmtId="167" fontId="6" fillId="34" borderId="15" xfId="0" applyNumberFormat="1" applyFont="1" applyFill="1" applyBorder="1" applyAlignment="1" applyProtection="1">
      <alignment/>
      <protection locked="0"/>
    </xf>
    <xf numFmtId="0" fontId="6" fillId="34" borderId="15" xfId="0" applyFont="1" applyFill="1" applyBorder="1" applyAlignment="1" applyProtection="1">
      <alignment/>
      <protection locked="0"/>
    </xf>
    <xf numFmtId="0" fontId="6" fillId="34" borderId="23" xfId="0" applyFont="1" applyFill="1" applyBorder="1" applyAlignment="1" applyProtection="1">
      <alignment/>
      <protection locked="0"/>
    </xf>
    <xf numFmtId="0" fontId="6" fillId="34" borderId="11" xfId="0" applyFont="1" applyFill="1" applyBorder="1" applyAlignment="1" applyProtection="1">
      <alignment/>
      <protection locked="0"/>
    </xf>
    <xf numFmtId="0" fontId="6" fillId="34" borderId="39" xfId="0" applyFont="1" applyFill="1" applyBorder="1" applyAlignment="1" applyProtection="1">
      <alignment/>
      <protection locked="0"/>
    </xf>
    <xf numFmtId="167" fontId="6" fillId="34" borderId="14" xfId="0" applyNumberFormat="1" applyFont="1" applyFill="1" applyBorder="1" applyAlignment="1" applyProtection="1">
      <alignment/>
      <protection locked="0"/>
    </xf>
    <xf numFmtId="0" fontId="6" fillId="34" borderId="14" xfId="0" applyFont="1" applyFill="1" applyBorder="1" applyAlignment="1" applyProtection="1">
      <alignment/>
      <protection locked="0"/>
    </xf>
    <xf numFmtId="8" fontId="6" fillId="34" borderId="14" xfId="0" applyNumberFormat="1" applyFont="1" applyFill="1" applyBorder="1" applyAlignment="1" applyProtection="1">
      <alignment/>
      <protection locked="0"/>
    </xf>
    <xf numFmtId="8" fontId="45" fillId="34" borderId="40" xfId="0" applyNumberFormat="1" applyFont="1" applyFill="1" applyBorder="1" applyAlignment="1" applyProtection="1">
      <alignment wrapText="1"/>
      <protection locked="0"/>
    </xf>
    <xf numFmtId="0" fontId="6" fillId="0" borderId="41" xfId="0" applyFont="1" applyBorder="1" applyAlignment="1" applyProtection="1">
      <alignment/>
      <protection/>
    </xf>
    <xf numFmtId="0" fontId="6" fillId="0" borderId="42" xfId="0" applyFont="1" applyBorder="1" applyAlignment="1" applyProtection="1">
      <alignment/>
      <protection/>
    </xf>
    <xf numFmtId="0" fontId="6" fillId="0" borderId="43" xfId="0" applyFont="1" applyBorder="1" applyAlignment="1" applyProtection="1">
      <alignment/>
      <protection/>
    </xf>
    <xf numFmtId="164" fontId="0" fillId="0" borderId="15" xfId="0" applyNumberFormat="1" applyBorder="1" applyAlignment="1" applyProtection="1">
      <alignment horizontal="center"/>
      <protection/>
    </xf>
    <xf numFmtId="8" fontId="6" fillId="34" borderId="17" xfId="0" applyNumberFormat="1" applyFont="1" applyFill="1" applyBorder="1" applyAlignment="1" applyProtection="1">
      <alignment/>
      <protection/>
    </xf>
    <xf numFmtId="8" fontId="6" fillId="34" borderId="17" xfId="0" applyNumberFormat="1" applyFont="1" applyFill="1" applyBorder="1" applyAlignment="1" applyProtection="1">
      <alignment horizontal="center"/>
      <protection/>
    </xf>
    <xf numFmtId="0" fontId="6" fillId="0" borderId="44" xfId="0" applyFont="1" applyBorder="1" applyAlignment="1" applyProtection="1">
      <alignment wrapText="1"/>
      <protection/>
    </xf>
    <xf numFmtId="0" fontId="6" fillId="0" borderId="45" xfId="0" applyFont="1" applyBorder="1" applyAlignment="1" applyProtection="1">
      <alignment wrapText="1"/>
      <protection/>
    </xf>
    <xf numFmtId="164" fontId="0" fillId="0" borderId="14" xfId="0" applyNumberFormat="1" applyBorder="1" applyAlignment="1" applyProtection="1">
      <alignment horizontal="center"/>
      <protection/>
    </xf>
    <xf numFmtId="0" fontId="6" fillId="0" borderId="46" xfId="0" applyFont="1" applyBorder="1" applyAlignment="1" applyProtection="1">
      <alignment wrapText="1"/>
      <protection/>
    </xf>
    <xf numFmtId="10" fontId="11" fillId="34" borderId="40" xfId="0" applyNumberFormat="1" applyFont="1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 locked="0"/>
    </xf>
    <xf numFmtId="3" fontId="0" fillId="35" borderId="15" xfId="0" applyNumberFormat="1" applyFill="1" applyBorder="1" applyAlignment="1" applyProtection="1">
      <alignment/>
      <protection locked="0"/>
    </xf>
    <xf numFmtId="164" fontId="0" fillId="34" borderId="16" xfId="0" applyNumberFormat="1" applyFill="1" applyBorder="1" applyAlignment="1" applyProtection="1">
      <alignment horizontal="center"/>
      <protection/>
    </xf>
    <xf numFmtId="164" fontId="0" fillId="34" borderId="0" xfId="0" applyNumberFormat="1" applyFill="1" applyBorder="1" applyAlignment="1" applyProtection="1">
      <alignment horizontal="center"/>
      <protection/>
    </xf>
    <xf numFmtId="10" fontId="0" fillId="34" borderId="0" xfId="0" applyNumberFormat="1" applyFill="1" applyBorder="1" applyAlignment="1" applyProtection="1">
      <alignment/>
      <protection/>
    </xf>
    <xf numFmtId="164" fontId="0" fillId="34" borderId="0" xfId="0" applyNumberFormat="1" applyFill="1" applyBorder="1" applyAlignment="1" applyProtection="1">
      <alignment/>
      <protection locked="0"/>
    </xf>
    <xf numFmtId="0" fontId="0" fillId="34" borderId="31" xfId="0" applyFill="1" applyBorder="1" applyAlignment="1" applyProtection="1">
      <alignment horizontal="center"/>
      <protection locked="0"/>
    </xf>
    <xf numFmtId="0" fontId="0" fillId="35" borderId="39" xfId="0" applyFill="1" applyBorder="1" applyAlignment="1" applyProtection="1">
      <alignment horizontal="center"/>
      <protection locked="0"/>
    </xf>
    <xf numFmtId="0" fontId="49" fillId="37" borderId="22" xfId="0" applyFont="1" applyFill="1" applyBorder="1" applyAlignment="1" applyProtection="1">
      <alignment horizontal="center" vertical="center" wrapText="1"/>
      <protection/>
    </xf>
    <xf numFmtId="167" fontId="49" fillId="37" borderId="22" xfId="0" applyNumberFormat="1" applyFont="1" applyFill="1" applyBorder="1" applyAlignment="1" applyProtection="1">
      <alignment horizontal="center" vertical="center" wrapText="1"/>
      <protection/>
    </xf>
    <xf numFmtId="0" fontId="9" fillId="37" borderId="22" xfId="0" applyFont="1" applyFill="1" applyBorder="1" applyAlignment="1" applyProtection="1">
      <alignment horizontal="center" vertical="center" wrapText="1"/>
      <protection/>
    </xf>
    <xf numFmtId="0" fontId="48" fillId="38" borderId="22" xfId="0" applyFont="1" applyFill="1" applyBorder="1" applyAlignment="1" applyProtection="1">
      <alignment horizontal="center" vertical="center" wrapText="1"/>
      <protection/>
    </xf>
    <xf numFmtId="0" fontId="9" fillId="38" borderId="22" xfId="0" applyFont="1" applyFill="1" applyBorder="1" applyAlignment="1" applyProtection="1">
      <alignment horizontal="center" vertical="center" wrapText="1"/>
      <protection/>
    </xf>
    <xf numFmtId="0" fontId="0" fillId="37" borderId="22" xfId="0" applyFill="1" applyBorder="1" applyAlignment="1" applyProtection="1">
      <alignment horizontal="center" vertical="center" wrapText="1"/>
      <protection/>
    </xf>
    <xf numFmtId="2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167" fontId="48" fillId="38" borderId="22" xfId="0" applyNumberFormat="1" applyFont="1" applyFill="1" applyBorder="1" applyAlignment="1" applyProtection="1">
      <alignment horizontal="center" vertical="center" wrapText="1"/>
      <protection/>
    </xf>
    <xf numFmtId="167" fontId="0" fillId="33" borderId="11" xfId="0" applyNumberFormat="1" applyFill="1" applyBorder="1" applyAlignment="1" applyProtection="1">
      <alignment horizontal="right"/>
      <protection locked="0"/>
    </xf>
    <xf numFmtId="168" fontId="0" fillId="34" borderId="21" xfId="0" applyNumberFormat="1" applyFill="1" applyBorder="1" applyAlignment="1" applyProtection="1">
      <alignment/>
      <protection/>
    </xf>
    <xf numFmtId="168" fontId="0" fillId="34" borderId="11" xfId="0" applyNumberFormat="1" applyFill="1" applyBorder="1" applyAlignment="1" applyProtection="1">
      <alignment/>
      <protection/>
    </xf>
    <xf numFmtId="0" fontId="47" fillId="36" borderId="29" xfId="0" applyFont="1" applyFill="1" applyBorder="1" applyAlignment="1" applyProtection="1">
      <alignment vertical="center"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37" borderId="47" xfId="0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 horizontal="center"/>
      <protection locked="0"/>
    </xf>
    <xf numFmtId="0" fontId="0" fillId="33" borderId="40" xfId="0" applyFill="1" applyBorder="1" applyAlignment="1" applyProtection="1">
      <alignment/>
      <protection locked="0"/>
    </xf>
    <xf numFmtId="0" fontId="6" fillId="34" borderId="16" xfId="0" applyFont="1" applyFill="1" applyBorder="1" applyAlignment="1" applyProtection="1">
      <alignment/>
      <protection locked="0"/>
    </xf>
    <xf numFmtId="0" fontId="6" fillId="34" borderId="17" xfId="0" applyFont="1" applyFill="1" applyBorder="1" applyAlignment="1" applyProtection="1">
      <alignment/>
      <protection locked="0"/>
    </xf>
    <xf numFmtId="0" fontId="6" fillId="34" borderId="40" xfId="0" applyFont="1" applyFill="1" applyBorder="1" applyAlignment="1" applyProtection="1">
      <alignment/>
      <protection locked="0"/>
    </xf>
    <xf numFmtId="10" fontId="0" fillId="34" borderId="48" xfId="0" applyNumberFormat="1" applyFill="1" applyBorder="1" applyAlignment="1" applyProtection="1">
      <alignment/>
      <protection/>
    </xf>
    <xf numFmtId="14" fontId="0" fillId="33" borderId="16" xfId="0" applyNumberFormat="1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 wrapText="1"/>
      <protection locked="0"/>
    </xf>
    <xf numFmtId="0" fontId="0" fillId="33" borderId="23" xfId="0" applyFill="1" applyBorder="1" applyAlignment="1" applyProtection="1">
      <alignment wrapText="1"/>
      <protection locked="0"/>
    </xf>
    <xf numFmtId="0" fontId="0" fillId="33" borderId="49" xfId="0" applyFill="1" applyBorder="1" applyAlignment="1" applyProtection="1">
      <alignment wrapText="1"/>
      <protection locked="0"/>
    </xf>
    <xf numFmtId="0" fontId="0" fillId="37" borderId="22" xfId="0" applyFill="1" applyBorder="1" applyAlignment="1" applyProtection="1">
      <alignment wrapText="1"/>
      <protection locked="0"/>
    </xf>
    <xf numFmtId="15" fontId="2" fillId="0" borderId="50" xfId="0" applyNumberFormat="1" applyFont="1" applyFill="1" applyBorder="1" applyAlignment="1" applyProtection="1">
      <alignment wrapText="1"/>
      <protection locked="0"/>
    </xf>
    <xf numFmtId="0" fontId="12" fillId="0" borderId="51" xfId="0" applyFont="1" applyBorder="1" applyAlignment="1" applyProtection="1">
      <alignment wrapText="1"/>
      <protection/>
    </xf>
    <xf numFmtId="15" fontId="2" fillId="35" borderId="35" xfId="0" applyNumberFormat="1" applyFont="1" applyFill="1" applyBorder="1" applyAlignment="1" applyProtection="1">
      <alignment/>
      <protection locked="0"/>
    </xf>
    <xf numFmtId="14" fontId="0" fillId="33" borderId="17" xfId="0" applyNumberFormat="1" applyFill="1" applyBorder="1" applyAlignment="1" applyProtection="1">
      <alignment/>
      <protection locked="0"/>
    </xf>
    <xf numFmtId="164" fontId="45" fillId="37" borderId="27" xfId="0" applyNumberFormat="1" applyFont="1" applyFill="1" applyBorder="1" applyAlignment="1" applyProtection="1">
      <alignment/>
      <protection/>
    </xf>
    <xf numFmtId="38" fontId="45" fillId="37" borderId="27" xfId="0" applyNumberFormat="1" applyFont="1" applyFill="1" applyBorder="1" applyAlignment="1" applyProtection="1">
      <alignment horizontal="right"/>
      <protection/>
    </xf>
    <xf numFmtId="168" fontId="0" fillId="34" borderId="27" xfId="0" applyNumberFormat="1" applyFill="1" applyBorder="1" applyAlignment="1" applyProtection="1">
      <alignment/>
      <protection/>
    </xf>
    <xf numFmtId="168" fontId="45" fillId="37" borderId="27" xfId="0" applyNumberFormat="1" applyFont="1" applyFill="1" applyBorder="1" applyAlignment="1" applyProtection="1">
      <alignment horizontal="right"/>
      <protection/>
    </xf>
    <xf numFmtId="168" fontId="0" fillId="35" borderId="15" xfId="0" applyNumberFormat="1" applyFill="1" applyBorder="1" applyAlignment="1" applyProtection="1">
      <alignment/>
      <protection locked="0"/>
    </xf>
    <xf numFmtId="38" fontId="6" fillId="35" borderId="52" xfId="0" applyNumberFormat="1" applyFont="1" applyFill="1" applyBorder="1" applyAlignment="1" applyProtection="1">
      <alignment/>
      <protection locked="0"/>
    </xf>
    <xf numFmtId="0" fontId="45" fillId="0" borderId="0" xfId="0" applyFont="1" applyAlignment="1">
      <alignment/>
    </xf>
    <xf numFmtId="14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10" fontId="0" fillId="0" borderId="0" xfId="0" applyNumberFormat="1" applyAlignment="1">
      <alignment/>
    </xf>
    <xf numFmtId="168" fontId="0" fillId="34" borderId="21" xfId="64" applyNumberFormat="1" applyFont="1" applyFill="1" applyBorder="1" applyAlignment="1" applyProtection="1">
      <alignment/>
      <protection/>
    </xf>
    <xf numFmtId="168" fontId="0" fillId="34" borderId="15" xfId="64" applyNumberFormat="1" applyFont="1" applyFill="1" applyBorder="1" applyAlignment="1" applyProtection="1">
      <alignment/>
      <protection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8" fontId="0" fillId="34" borderId="11" xfId="64" applyNumberFormat="1" applyFont="1" applyFill="1" applyBorder="1" applyAlignment="1" applyProtection="1">
      <alignment/>
      <protection/>
    </xf>
    <xf numFmtId="168" fontId="0" fillId="34" borderId="53" xfId="64" applyNumberFormat="1" applyFont="1" applyFill="1" applyBorder="1" applyAlignment="1" applyProtection="1">
      <alignment/>
      <protection/>
    </xf>
    <xf numFmtId="168" fontId="0" fillId="34" borderId="14" xfId="64" applyNumberFormat="1" applyFont="1" applyFill="1" applyBorder="1" applyAlignment="1" applyProtection="1">
      <alignment/>
      <protection/>
    </xf>
    <xf numFmtId="168" fontId="0" fillId="34" borderId="13" xfId="64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8" fontId="0" fillId="0" borderId="0" xfId="0" applyNumberFormat="1" applyAlignment="1">
      <alignment/>
    </xf>
    <xf numFmtId="10" fontId="11" fillId="34" borderId="54" xfId="0" applyNumberFormat="1" applyFont="1" applyFill="1" applyBorder="1" applyAlignment="1" applyProtection="1">
      <alignment horizontal="center" wrapText="1"/>
      <protection locked="0"/>
    </xf>
    <xf numFmtId="10" fontId="11" fillId="34" borderId="40" xfId="0" applyNumberFormat="1" applyFont="1" applyFill="1" applyBorder="1" applyAlignment="1" applyProtection="1">
      <alignment horizontal="center" wrapText="1"/>
      <protection locked="0"/>
    </xf>
    <xf numFmtId="0" fontId="47" fillId="36" borderId="31" xfId="0" applyFont="1" applyFill="1" applyBorder="1" applyAlignment="1" applyProtection="1">
      <alignment horizontal="left" vertical="center"/>
      <protection locked="0"/>
    </xf>
    <xf numFmtId="0" fontId="47" fillId="36" borderId="0" xfId="0" applyFont="1" applyFill="1" applyBorder="1" applyAlignment="1" applyProtection="1">
      <alignment horizontal="left" vertical="center"/>
      <protection locked="0"/>
    </xf>
    <xf numFmtId="0" fontId="47" fillId="36" borderId="32" xfId="0" applyFont="1" applyFill="1" applyBorder="1" applyAlignment="1" applyProtection="1">
      <alignment horizontal="left" vertical="center"/>
      <protection locked="0"/>
    </xf>
    <xf numFmtId="0" fontId="45" fillId="0" borderId="0" xfId="0" applyFont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eutral 2" xfId="61"/>
    <cellStyle name="Note" xfId="62"/>
    <cellStyle name="Output" xfId="63"/>
    <cellStyle name="Percent" xfId="64"/>
    <cellStyle name="Title" xfId="65"/>
    <cellStyle name="Title 2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L477"/>
  <sheetViews>
    <sheetView tabSelected="1" view="pageLayout" zoomScale="70" zoomScaleNormal="115" zoomScalePageLayoutView="70" workbookViewId="0" topLeftCell="A1">
      <selection activeCell="G5" sqref="G5"/>
    </sheetView>
  </sheetViews>
  <sheetFormatPr defaultColWidth="8.8515625" defaultRowHeight="15"/>
  <cols>
    <col min="1" max="1" width="29.421875" style="50" customWidth="1"/>
    <col min="2" max="2" width="13.7109375" style="50" customWidth="1"/>
    <col min="3" max="3" width="17.57421875" style="50" customWidth="1"/>
    <col min="4" max="4" width="13.140625" style="50" customWidth="1"/>
    <col min="5" max="5" width="13.28125" style="50" customWidth="1"/>
    <col min="6" max="6" width="13.8515625" style="50" customWidth="1"/>
    <col min="7" max="7" width="10.28125" style="50" customWidth="1"/>
    <col min="8" max="8" width="13.421875" style="50" customWidth="1"/>
    <col min="9" max="9" width="11.00390625" style="50" customWidth="1"/>
    <col min="10" max="10" width="11.8515625" style="50" customWidth="1"/>
    <col min="11" max="11" width="19.00390625" style="50" customWidth="1"/>
    <col min="12" max="16384" width="8.8515625" style="50" customWidth="1"/>
  </cols>
  <sheetData>
    <row r="1" spans="1:11" ht="15" thickBot="1">
      <c r="A1" s="45" t="s">
        <v>11</v>
      </c>
      <c r="B1" s="137"/>
      <c r="C1" s="46"/>
      <c r="D1" s="47"/>
      <c r="E1" s="47"/>
      <c r="F1" s="47"/>
      <c r="G1" s="48"/>
      <c r="H1" s="47"/>
      <c r="I1" s="47"/>
      <c r="J1" s="47"/>
      <c r="K1" s="49"/>
    </row>
    <row r="2" spans="1:11" ht="14.25">
      <c r="A2" s="51"/>
      <c r="B2" s="53"/>
      <c r="C2" s="52"/>
      <c r="D2" s="53"/>
      <c r="E2" s="53"/>
      <c r="F2" s="53"/>
      <c r="G2" s="54" t="s">
        <v>17</v>
      </c>
      <c r="H2" s="53"/>
      <c r="I2" s="53"/>
      <c r="J2" s="3"/>
      <c r="K2" s="55"/>
    </row>
    <row r="3" spans="1:11" ht="15" thickBot="1">
      <c r="A3" s="51"/>
      <c r="B3" s="53"/>
      <c r="C3" s="52"/>
      <c r="D3" s="53"/>
      <c r="E3" s="53"/>
      <c r="F3" s="53"/>
      <c r="G3" s="56" t="s">
        <v>8</v>
      </c>
      <c r="H3" s="53"/>
      <c r="I3" s="53"/>
      <c r="J3" s="1"/>
      <c r="K3" s="55"/>
    </row>
    <row r="4" spans="1:11" ht="14.25">
      <c r="A4" s="51"/>
      <c r="B4" s="53"/>
      <c r="C4" s="52"/>
      <c r="D4" s="53"/>
      <c r="E4" s="53"/>
      <c r="F4" s="53"/>
      <c r="G4" s="53"/>
      <c r="H4" s="53"/>
      <c r="I4" s="53"/>
      <c r="J4" s="57"/>
      <c r="K4" s="55"/>
    </row>
    <row r="5" spans="1:11" ht="90" customHeight="1">
      <c r="A5" s="125" t="s">
        <v>0</v>
      </c>
      <c r="B5" s="125" t="s">
        <v>32</v>
      </c>
      <c r="C5" s="126" t="s">
        <v>1</v>
      </c>
      <c r="D5" s="125" t="s">
        <v>7</v>
      </c>
      <c r="E5" s="125" t="s">
        <v>24</v>
      </c>
      <c r="F5" s="125" t="s">
        <v>25</v>
      </c>
      <c r="G5" s="125" t="s">
        <v>14</v>
      </c>
      <c r="H5" s="127" t="s">
        <v>16</v>
      </c>
      <c r="I5" s="128" t="s">
        <v>23</v>
      </c>
      <c r="J5" s="125" t="s">
        <v>15</v>
      </c>
      <c r="K5" s="129" t="s">
        <v>10</v>
      </c>
    </row>
    <row r="6" spans="1:11" ht="14.25">
      <c r="A6" s="148"/>
      <c r="B6" s="147"/>
      <c r="C6" s="13"/>
      <c r="D6" s="20"/>
      <c r="E6" s="18">
        <f aca="true" t="shared" si="0" ref="E6:E17">IF(ISBLANK(D6),"",IF(C6&lt;PetitionDate-(365*2),0,D6*0.7))</f>
      </c>
      <c r="F6" s="19">
        <f aca="true" t="shared" si="1" ref="F6:F17">IF(ISBLANK(D6),"",IF(C6&lt;PetitionDate-(365*2),0,E6/NumberUnits))</f>
      </c>
      <c r="G6" s="168">
        <f>IF(ISBLANK(B6),"",VLOOKUP(B6,'Imputed Interest Rates'!A$2:H$99,8))</f>
      </c>
      <c r="H6" s="22"/>
      <c r="I6" s="14" t="str">
        <f aca="true" t="shared" si="2" ref="I6:I17">IF(ISNUMBER(H6),IF(C6&lt;EffectiveDate-(365*2),0,PMT(($G6/12),($H6*12),-(D6*0.7)))," ")</f>
        <v> </v>
      </c>
      <c r="J6" s="18">
        <f aca="true" t="shared" si="3" ref="J6:J17">IF(ISNUMBER(H6),I6/NumberUnits,"")</f>
      </c>
      <c r="K6" s="106" t="str">
        <f aca="true" t="shared" si="4" ref="K6:K17">IF(ISBLANK(A6)," ",IF(C6&lt;PetitionDate-(365*2),"Not timely","OK"))</f>
        <v> </v>
      </c>
    </row>
    <row r="7" spans="1:11" ht="14.25">
      <c r="A7" s="149"/>
      <c r="B7" s="155"/>
      <c r="C7" s="4"/>
      <c r="D7" s="21"/>
      <c r="E7" s="19">
        <f t="shared" si="0"/>
      </c>
      <c r="F7" s="19">
        <f t="shared" si="1"/>
      </c>
      <c r="G7" s="173">
        <f>IF(ISBLANK(B7),"",VLOOKUP(B7,'Imputed Interest Rates'!A$2:H$99,8))</f>
      </c>
      <c r="H7" s="23"/>
      <c r="I7" s="15" t="str">
        <f t="shared" si="2"/>
        <v> </v>
      </c>
      <c r="J7" s="19">
        <f t="shared" si="3"/>
      </c>
      <c r="K7" s="107" t="str">
        <f t="shared" si="4"/>
        <v> </v>
      </c>
    </row>
    <row r="8" spans="1:11" ht="14.25">
      <c r="A8" s="149"/>
      <c r="B8" s="155"/>
      <c r="C8" s="4"/>
      <c r="D8" s="17"/>
      <c r="E8" s="5">
        <f t="shared" si="0"/>
      </c>
      <c r="F8" s="5">
        <f t="shared" si="1"/>
      </c>
      <c r="G8" s="173">
        <f>IF(ISBLANK(B8),"",VLOOKUP(B8,'Imputed Interest Rates'!A$2:H$99,8))</f>
      </c>
      <c r="H8" s="23"/>
      <c r="I8" s="15" t="str">
        <f t="shared" si="2"/>
        <v> </v>
      </c>
      <c r="J8" s="5">
        <f t="shared" si="3"/>
      </c>
      <c r="K8" s="107" t="str">
        <f t="shared" si="4"/>
        <v> </v>
      </c>
    </row>
    <row r="9" spans="1:11" ht="14.25">
      <c r="A9" s="149"/>
      <c r="B9" s="138"/>
      <c r="C9" s="134"/>
      <c r="D9" s="17"/>
      <c r="E9" s="5">
        <f t="shared" si="0"/>
      </c>
      <c r="F9" s="5">
        <f t="shared" si="1"/>
      </c>
      <c r="G9" s="174">
        <f>IF(ISBLANK(B9),"",VLOOKUP(B9,'Imputed Interest Rates'!A$2:H$99,8))</f>
      </c>
      <c r="H9" s="23"/>
      <c r="I9" s="15" t="str">
        <f t="shared" si="2"/>
        <v> </v>
      </c>
      <c r="J9" s="5">
        <f t="shared" si="3"/>
      </c>
      <c r="K9" s="107" t="str">
        <f t="shared" si="4"/>
        <v> </v>
      </c>
    </row>
    <row r="10" spans="1:11" ht="14.25">
      <c r="A10" s="149"/>
      <c r="B10" s="138"/>
      <c r="C10" s="4"/>
      <c r="D10" s="17"/>
      <c r="E10" s="5">
        <f t="shared" si="0"/>
      </c>
      <c r="F10" s="5">
        <f t="shared" si="1"/>
      </c>
      <c r="G10" s="173">
        <f>IF(ISBLANK(B10),"",VLOOKUP(B10,'Imputed Interest Rates'!A$2:H$99,8))</f>
      </c>
      <c r="H10" s="23"/>
      <c r="I10" s="15" t="str">
        <f t="shared" si="2"/>
        <v> </v>
      </c>
      <c r="J10" s="5">
        <f t="shared" si="3"/>
      </c>
      <c r="K10" s="107" t="str">
        <f t="shared" si="4"/>
        <v> </v>
      </c>
    </row>
    <row r="11" spans="1:11" ht="14.25">
      <c r="A11" s="149"/>
      <c r="B11" s="138"/>
      <c r="C11" s="4"/>
      <c r="D11" s="17"/>
      <c r="E11" s="5">
        <f t="shared" si="0"/>
      </c>
      <c r="F11" s="5">
        <f t="shared" si="1"/>
      </c>
      <c r="G11" s="174">
        <f>IF(ISBLANK(B11),"",VLOOKUP(B11,'Imputed Interest Rates'!A$2:H$99,8))</f>
      </c>
      <c r="H11" s="23"/>
      <c r="I11" s="15" t="str">
        <f t="shared" si="2"/>
        <v> </v>
      </c>
      <c r="J11" s="5">
        <f t="shared" si="3"/>
      </c>
      <c r="K11" s="107" t="str">
        <f t="shared" si="4"/>
        <v> </v>
      </c>
    </row>
    <row r="12" spans="1:12" ht="14.25">
      <c r="A12" s="149"/>
      <c r="B12" s="138"/>
      <c r="C12" s="4"/>
      <c r="D12" s="17"/>
      <c r="E12" s="5">
        <f t="shared" si="0"/>
      </c>
      <c r="F12" s="5">
        <f t="shared" si="1"/>
      </c>
      <c r="G12" s="173">
        <f>IF(ISBLANK(B12),"",VLOOKUP(B12,'Imputed Interest Rates'!A$2:H$99,8))</f>
      </c>
      <c r="H12" s="23"/>
      <c r="I12" s="15" t="str">
        <f t="shared" si="2"/>
        <v> </v>
      </c>
      <c r="J12" s="5">
        <f t="shared" si="3"/>
      </c>
      <c r="K12" s="107" t="str">
        <f t="shared" si="4"/>
        <v> </v>
      </c>
      <c r="L12" s="53"/>
    </row>
    <row r="13" spans="1:11" ht="14.25">
      <c r="A13" s="149"/>
      <c r="B13" s="138"/>
      <c r="C13" s="4"/>
      <c r="D13" s="17"/>
      <c r="E13" s="5">
        <f t="shared" si="0"/>
      </c>
      <c r="F13" s="5">
        <f t="shared" si="1"/>
      </c>
      <c r="G13" s="174">
        <f>IF(ISBLANK(B13),"",VLOOKUP(B13,'Imputed Interest Rates'!A$2:H$99,8))</f>
      </c>
      <c r="H13" s="23"/>
      <c r="I13" s="15" t="str">
        <f t="shared" si="2"/>
        <v> </v>
      </c>
      <c r="J13" s="5">
        <f t="shared" si="3"/>
      </c>
      <c r="K13" s="107" t="str">
        <f t="shared" si="4"/>
        <v> </v>
      </c>
    </row>
    <row r="14" spans="1:11" ht="14.25">
      <c r="A14" s="149"/>
      <c r="B14" s="138"/>
      <c r="C14" s="4"/>
      <c r="D14" s="17"/>
      <c r="E14" s="5">
        <f t="shared" si="0"/>
      </c>
      <c r="F14" s="5">
        <f t="shared" si="1"/>
      </c>
      <c r="G14" s="176">
        <f>IF(ISBLANK(B14),"",VLOOKUP(B14,'Imputed Interest Rates'!A$2:H$99,8))</f>
      </c>
      <c r="H14" s="23"/>
      <c r="I14" s="15" t="str">
        <f t="shared" si="2"/>
        <v> </v>
      </c>
      <c r="J14" s="5">
        <f t="shared" si="3"/>
      </c>
      <c r="K14" s="107" t="str">
        <f t="shared" si="4"/>
        <v> </v>
      </c>
    </row>
    <row r="15" spans="1:11" ht="14.25">
      <c r="A15" s="149"/>
      <c r="B15" s="138"/>
      <c r="C15" s="4"/>
      <c r="D15" s="17"/>
      <c r="E15" s="5">
        <f t="shared" si="0"/>
      </c>
      <c r="F15" s="5">
        <f t="shared" si="1"/>
      </c>
      <c r="G15" s="176">
        <f>IF(ISBLANK(B15),"",VLOOKUP(B15,'Imputed Interest Rates'!A$2:H$99,8))</f>
      </c>
      <c r="H15" s="23"/>
      <c r="I15" s="15" t="str">
        <f t="shared" si="2"/>
        <v> </v>
      </c>
      <c r="J15" s="5">
        <f t="shared" si="3"/>
      </c>
      <c r="K15" s="107" t="str">
        <f t="shared" si="4"/>
        <v> </v>
      </c>
    </row>
    <row r="16" spans="1:11" ht="14.25">
      <c r="A16" s="149"/>
      <c r="B16" s="138"/>
      <c r="C16" s="4"/>
      <c r="D16" s="17"/>
      <c r="E16" s="5">
        <f t="shared" si="0"/>
      </c>
      <c r="F16" s="5">
        <f t="shared" si="1"/>
      </c>
      <c r="G16" s="176">
        <f>IF(ISBLANK(B16),"",VLOOKUP(B16,'Imputed Interest Rates'!A$2:H$99,8))</f>
      </c>
      <c r="H16" s="23"/>
      <c r="I16" s="15" t="str">
        <f t="shared" si="2"/>
        <v> </v>
      </c>
      <c r="J16" s="5">
        <f t="shared" si="3"/>
      </c>
      <c r="K16" s="107" t="str">
        <f t="shared" si="4"/>
        <v> </v>
      </c>
    </row>
    <row r="17" spans="1:11" ht="14.25">
      <c r="A17" s="150"/>
      <c r="B17" s="139"/>
      <c r="C17" s="7"/>
      <c r="D17" s="34"/>
      <c r="E17" s="35">
        <f t="shared" si="0"/>
      </c>
      <c r="F17" s="35">
        <f t="shared" si="1"/>
      </c>
      <c r="G17" s="175">
        <f>IF(ISBLANK(B17),"",VLOOKUP(B17,'Imputed Interest Rates'!A$2:H$99,8))</f>
      </c>
      <c r="H17" s="36"/>
      <c r="I17" s="16" t="str">
        <f t="shared" si="2"/>
        <v> </v>
      </c>
      <c r="J17" s="35">
        <f t="shared" si="3"/>
      </c>
      <c r="K17" s="108" t="str">
        <f t="shared" si="4"/>
        <v> </v>
      </c>
    </row>
    <row r="18" spans="1:11" ht="14.25">
      <c r="A18" s="151" t="s">
        <v>18</v>
      </c>
      <c r="B18" s="58"/>
      <c r="C18" s="58"/>
      <c r="D18" s="59"/>
      <c r="E18" s="38">
        <f>IF(ISNUMBER(E6),SUM(E6:E17),"")</f>
      </c>
      <c r="F18" s="38">
        <f>IF(ISNUMBER(F6),SUM(F6:F17),"")</f>
      </c>
      <c r="G18" s="158">
        <f>IF(ISNUMBER(F6),ROUND(SUMPRODUCT(G6:G17,F6:F17)/F18,5),"")</f>
      </c>
      <c r="H18" s="40">
        <f>IF(ISNUMBER(F6),ROUND(SUMPRODUCT(H6:H17,F6:F17)/F18,0),"")</f>
      </c>
      <c r="I18" s="38" t="str">
        <f>IF(ISNUMBER(H18),PMT(($G18/12),($H18*12),-(E18))," ")</f>
        <v> </v>
      </c>
      <c r="J18" s="38">
        <f>IF(ISNUMBER(H18),I18/J3,"")</f>
      </c>
      <c r="K18" s="37"/>
    </row>
    <row r="19" spans="1:11" ht="24">
      <c r="A19" s="152" t="s">
        <v>29</v>
      </c>
      <c r="B19" s="154"/>
      <c r="C19" s="60"/>
      <c r="D19" s="60"/>
      <c r="E19" s="60"/>
      <c r="F19" s="60"/>
      <c r="G19" s="60"/>
      <c r="H19" s="60"/>
      <c r="I19" s="60"/>
      <c r="J19" s="60"/>
      <c r="K19" s="61"/>
    </row>
    <row r="20" spans="1:11" ht="14.25">
      <c r="A20" s="62" t="s">
        <v>2</v>
      </c>
      <c r="B20" s="30"/>
      <c r="C20" s="60"/>
      <c r="D20" s="60"/>
      <c r="E20" s="60"/>
      <c r="F20" s="60"/>
      <c r="G20" s="60"/>
      <c r="H20" s="60"/>
      <c r="I20" s="60"/>
      <c r="J20" s="60"/>
      <c r="K20" s="61"/>
    </row>
    <row r="21" spans="1:11" ht="14.25">
      <c r="A21" s="62" t="s">
        <v>3</v>
      </c>
      <c r="B21" s="30"/>
      <c r="E21" s="60"/>
      <c r="F21" s="60"/>
      <c r="G21" s="60"/>
      <c r="H21" s="60"/>
      <c r="I21" s="60"/>
      <c r="J21" s="60"/>
      <c r="K21" s="61"/>
    </row>
    <row r="22" spans="1:11" ht="14.25">
      <c r="A22" s="62" t="s">
        <v>4</v>
      </c>
      <c r="B22" s="39" t="str">
        <f>IF(isMixed="X",B20/(B20+B21)," ")</f>
        <v> </v>
      </c>
      <c r="E22" s="63"/>
      <c r="F22" s="64"/>
      <c r="G22" s="53"/>
      <c r="H22" s="53"/>
      <c r="I22" s="53"/>
      <c r="J22" s="60"/>
      <c r="K22" s="65"/>
    </row>
    <row r="23" spans="1:11" ht="14.25">
      <c r="A23" s="66" t="s">
        <v>9</v>
      </c>
      <c r="B23" s="140"/>
      <c r="C23" s="67"/>
      <c r="D23" s="68"/>
      <c r="E23" s="68"/>
      <c r="F23" s="156">
        <f>IF(LOWER(isMixed)="x",RESPCT*F18,F18)</f>
      </c>
      <c r="G23" s="159">
        <f>G18</f>
      </c>
      <c r="H23" s="157">
        <f>H18</f>
      </c>
      <c r="I23" s="69"/>
      <c r="J23" s="156">
        <f>IF(LOWER(isMixed)="x",RESPCT*SubTotal,SubTotal)</f>
      </c>
      <c r="K23" s="70"/>
    </row>
    <row r="25" spans="1:11" ht="14.25">
      <c r="A25" s="185" t="s">
        <v>13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7"/>
    </row>
    <row r="26" spans="1:11" ht="14.25">
      <c r="A26" s="51"/>
      <c r="B26" s="53"/>
      <c r="C26" s="71"/>
      <c r="D26" s="72"/>
      <c r="E26" s="73"/>
      <c r="F26" s="74"/>
      <c r="G26" s="51"/>
      <c r="I26" s="71"/>
      <c r="J26" s="72"/>
      <c r="K26" s="73"/>
    </row>
    <row r="27" spans="1:7" ht="57.75">
      <c r="A27" s="130" t="s">
        <v>5</v>
      </c>
      <c r="B27" s="131" t="s">
        <v>6</v>
      </c>
      <c r="C27" s="130" t="s">
        <v>31</v>
      </c>
      <c r="D27" s="130" t="s">
        <v>14</v>
      </c>
      <c r="E27" s="130" t="s">
        <v>16</v>
      </c>
      <c r="F27" s="132" t="s">
        <v>27</v>
      </c>
      <c r="G27" s="131" t="s">
        <v>22</v>
      </c>
    </row>
    <row r="28" spans="1:7" ht="14.25">
      <c r="A28" s="32"/>
      <c r="B28" s="33"/>
      <c r="C28" s="33"/>
      <c r="D28" s="160"/>
      <c r="E28" s="118"/>
      <c r="F28" s="119" t="str">
        <f>IF(ISNUMBER(C28),PMT((D28/12),(E28*12),-(C28))," ")</f>
        <v> </v>
      </c>
      <c r="G28" s="146">
        <f aca="true" t="shared" si="5" ref="G28:G60">IF(ISNUMBER(B28),F28/B28,"")</f>
      </c>
    </row>
    <row r="29" spans="1:7" ht="14.25">
      <c r="A29" s="31"/>
      <c r="B29" s="6"/>
      <c r="C29" s="33"/>
      <c r="D29" s="160"/>
      <c r="E29" s="118"/>
      <c r="F29" s="119" t="str">
        <f>IF(ISNUMBER(C29),PMT((D29/12),(E29*12),-(C29))," ")</f>
        <v> </v>
      </c>
      <c r="G29" s="146">
        <f t="shared" si="5"/>
      </c>
    </row>
    <row r="30" spans="1:7" ht="14.25">
      <c r="A30" s="31"/>
      <c r="B30" s="6"/>
      <c r="C30" s="33"/>
      <c r="D30" s="160"/>
      <c r="E30" s="118"/>
      <c r="F30" s="119" t="str">
        <f aca="true" t="shared" si="6" ref="F30:F60">IF(ISNUMBER(C30),PMT((D30/12),(E30*12),-(C30))," ")</f>
        <v> </v>
      </c>
      <c r="G30" s="146">
        <f t="shared" si="5"/>
      </c>
    </row>
    <row r="31" spans="1:7" ht="14.25">
      <c r="A31" s="31"/>
      <c r="B31" s="6"/>
      <c r="C31" s="33"/>
      <c r="D31" s="160"/>
      <c r="E31" s="118"/>
      <c r="F31" s="119" t="str">
        <f t="shared" si="6"/>
        <v> </v>
      </c>
      <c r="G31" s="146">
        <f t="shared" si="5"/>
      </c>
    </row>
    <row r="32" spans="1:7" ht="14.25">
      <c r="A32" s="31"/>
      <c r="B32" s="6"/>
      <c r="C32" s="33"/>
      <c r="D32" s="160"/>
      <c r="E32" s="118"/>
      <c r="F32" s="119" t="str">
        <f t="shared" si="6"/>
        <v> </v>
      </c>
      <c r="G32" s="146">
        <f t="shared" si="5"/>
      </c>
    </row>
    <row r="33" spans="1:7" ht="14.25">
      <c r="A33" s="31"/>
      <c r="B33" s="6"/>
      <c r="C33" s="33"/>
      <c r="D33" s="160"/>
      <c r="E33" s="118"/>
      <c r="F33" s="119" t="str">
        <f t="shared" si="6"/>
        <v> </v>
      </c>
      <c r="G33" s="146">
        <f t="shared" si="5"/>
      </c>
    </row>
    <row r="34" spans="1:7" ht="14.25">
      <c r="A34" s="31"/>
      <c r="B34" s="6"/>
      <c r="C34" s="33"/>
      <c r="D34" s="160"/>
      <c r="E34" s="118"/>
      <c r="F34" s="119" t="str">
        <f t="shared" si="6"/>
        <v> </v>
      </c>
      <c r="G34" s="146">
        <f t="shared" si="5"/>
      </c>
    </row>
    <row r="35" spans="1:7" ht="14.25">
      <c r="A35" s="31"/>
      <c r="B35" s="6"/>
      <c r="C35" s="33"/>
      <c r="D35" s="160"/>
      <c r="E35" s="118"/>
      <c r="F35" s="119" t="str">
        <f t="shared" si="6"/>
        <v> </v>
      </c>
      <c r="G35" s="146">
        <f t="shared" si="5"/>
      </c>
    </row>
    <row r="36" spans="1:7" ht="14.25">
      <c r="A36" s="31"/>
      <c r="B36" s="6"/>
      <c r="C36" s="33"/>
      <c r="D36" s="160"/>
      <c r="E36" s="118"/>
      <c r="F36" s="119" t="str">
        <f t="shared" si="6"/>
        <v> </v>
      </c>
      <c r="G36" s="146">
        <f t="shared" si="5"/>
      </c>
    </row>
    <row r="37" spans="1:7" ht="14.25">
      <c r="A37" s="32"/>
      <c r="B37" s="33"/>
      <c r="C37" s="33"/>
      <c r="D37" s="160"/>
      <c r="E37" s="118"/>
      <c r="F37" s="119" t="str">
        <f t="shared" si="6"/>
        <v> </v>
      </c>
      <c r="G37" s="146">
        <f t="shared" si="5"/>
      </c>
    </row>
    <row r="38" spans="1:7" ht="14.25">
      <c r="A38" s="31"/>
      <c r="B38" s="6"/>
      <c r="C38" s="33"/>
      <c r="D38" s="160"/>
      <c r="E38" s="118"/>
      <c r="F38" s="119" t="str">
        <f t="shared" si="6"/>
        <v> </v>
      </c>
      <c r="G38" s="146">
        <f t="shared" si="5"/>
      </c>
    </row>
    <row r="39" spans="1:7" ht="14.25">
      <c r="A39" s="31"/>
      <c r="B39" s="6"/>
      <c r="C39" s="33"/>
      <c r="D39" s="160"/>
      <c r="E39" s="118"/>
      <c r="F39" s="119" t="str">
        <f t="shared" si="6"/>
        <v> </v>
      </c>
      <c r="G39" s="146">
        <f t="shared" si="5"/>
      </c>
    </row>
    <row r="40" spans="1:7" ht="14.25">
      <c r="A40" s="31"/>
      <c r="B40" s="6"/>
      <c r="C40" s="33"/>
      <c r="D40" s="160"/>
      <c r="E40" s="118"/>
      <c r="F40" s="119" t="str">
        <f t="shared" si="6"/>
        <v> </v>
      </c>
      <c r="G40" s="146">
        <f t="shared" si="5"/>
      </c>
    </row>
    <row r="41" spans="1:7" ht="14.25">
      <c r="A41" s="31"/>
      <c r="B41" s="6"/>
      <c r="C41" s="33"/>
      <c r="D41" s="160"/>
      <c r="E41" s="118"/>
      <c r="F41" s="119" t="str">
        <f t="shared" si="6"/>
        <v> </v>
      </c>
      <c r="G41" s="146">
        <f t="shared" si="5"/>
      </c>
    </row>
    <row r="42" spans="1:7" ht="14.25">
      <c r="A42" s="31"/>
      <c r="B42" s="6"/>
      <c r="C42" s="33"/>
      <c r="D42" s="160"/>
      <c r="E42" s="118"/>
      <c r="F42" s="119" t="str">
        <f t="shared" si="6"/>
        <v> </v>
      </c>
      <c r="G42" s="146">
        <f t="shared" si="5"/>
      </c>
    </row>
    <row r="43" spans="1:7" ht="14.25">
      <c r="A43" s="31"/>
      <c r="B43" s="6"/>
      <c r="C43" s="33"/>
      <c r="D43" s="160"/>
      <c r="E43" s="118"/>
      <c r="F43" s="119" t="str">
        <f t="shared" si="6"/>
        <v> </v>
      </c>
      <c r="G43" s="146">
        <f t="shared" si="5"/>
      </c>
    </row>
    <row r="44" spans="1:7" ht="14.25">
      <c r="A44" s="32"/>
      <c r="B44" s="33"/>
      <c r="C44" s="33"/>
      <c r="D44" s="160"/>
      <c r="E44" s="118"/>
      <c r="F44" s="119" t="str">
        <f t="shared" si="6"/>
        <v> </v>
      </c>
      <c r="G44" s="146">
        <f t="shared" si="5"/>
      </c>
    </row>
    <row r="45" spans="1:7" ht="14.25">
      <c r="A45" s="31"/>
      <c r="B45" s="6"/>
      <c r="C45" s="33"/>
      <c r="D45" s="160"/>
      <c r="E45" s="118"/>
      <c r="F45" s="119" t="str">
        <f t="shared" si="6"/>
        <v> </v>
      </c>
      <c r="G45" s="146">
        <f t="shared" si="5"/>
      </c>
    </row>
    <row r="46" spans="1:7" ht="14.25">
      <c r="A46" s="31"/>
      <c r="B46" s="6"/>
      <c r="C46" s="33"/>
      <c r="D46" s="160"/>
      <c r="E46" s="118"/>
      <c r="F46" s="119" t="str">
        <f t="shared" si="6"/>
        <v> </v>
      </c>
      <c r="G46" s="146">
        <f t="shared" si="5"/>
      </c>
    </row>
    <row r="47" spans="1:7" ht="14.25">
      <c r="A47" s="31"/>
      <c r="B47" s="6"/>
      <c r="C47" s="33"/>
      <c r="D47" s="160"/>
      <c r="E47" s="118"/>
      <c r="F47" s="119" t="str">
        <f t="shared" si="6"/>
        <v> </v>
      </c>
      <c r="G47" s="146">
        <f t="shared" si="5"/>
      </c>
    </row>
    <row r="48" spans="1:7" ht="14.25">
      <c r="A48" s="31"/>
      <c r="B48" s="6"/>
      <c r="C48" s="33"/>
      <c r="D48" s="160"/>
      <c r="E48" s="118"/>
      <c r="F48" s="119" t="str">
        <f t="shared" si="6"/>
        <v> </v>
      </c>
      <c r="G48" s="146">
        <f t="shared" si="5"/>
      </c>
    </row>
    <row r="49" spans="1:7" ht="14.25">
      <c r="A49" s="31"/>
      <c r="B49" s="6"/>
      <c r="C49" s="33"/>
      <c r="D49" s="160"/>
      <c r="E49" s="118"/>
      <c r="F49" s="119" t="str">
        <f t="shared" si="6"/>
        <v> </v>
      </c>
      <c r="G49" s="146">
        <f t="shared" si="5"/>
      </c>
    </row>
    <row r="50" spans="1:7" ht="14.25">
      <c r="A50" s="31"/>
      <c r="B50" s="6"/>
      <c r="C50" s="33"/>
      <c r="D50" s="160"/>
      <c r="E50" s="118"/>
      <c r="F50" s="119" t="str">
        <f t="shared" si="6"/>
        <v> </v>
      </c>
      <c r="G50" s="146">
        <f t="shared" si="5"/>
      </c>
    </row>
    <row r="51" spans="1:7" ht="14.25">
      <c r="A51" s="31"/>
      <c r="B51" s="6"/>
      <c r="C51" s="33"/>
      <c r="D51" s="160"/>
      <c r="E51" s="118"/>
      <c r="F51" s="119" t="str">
        <f t="shared" si="6"/>
        <v> </v>
      </c>
      <c r="G51" s="146">
        <f t="shared" si="5"/>
      </c>
    </row>
    <row r="52" spans="1:7" ht="14.25">
      <c r="A52" s="31"/>
      <c r="B52" s="6"/>
      <c r="C52" s="33"/>
      <c r="D52" s="160"/>
      <c r="E52" s="118"/>
      <c r="F52" s="119" t="str">
        <f t="shared" si="6"/>
        <v> </v>
      </c>
      <c r="G52" s="146">
        <f t="shared" si="5"/>
      </c>
    </row>
    <row r="53" spans="1:7" ht="14.25">
      <c r="A53" s="31"/>
      <c r="B53" s="6"/>
      <c r="C53" s="33"/>
      <c r="D53" s="160"/>
      <c r="E53" s="118"/>
      <c r="F53" s="119" t="str">
        <f t="shared" si="6"/>
        <v> </v>
      </c>
      <c r="G53" s="146">
        <f t="shared" si="5"/>
      </c>
    </row>
    <row r="54" spans="1:7" ht="14.25">
      <c r="A54" s="31"/>
      <c r="B54" s="6"/>
      <c r="C54" s="33"/>
      <c r="D54" s="160"/>
      <c r="E54" s="118"/>
      <c r="F54" s="119" t="str">
        <f t="shared" si="6"/>
        <v> </v>
      </c>
      <c r="G54" s="146">
        <f t="shared" si="5"/>
      </c>
    </row>
    <row r="55" spans="1:7" ht="14.25">
      <c r="A55" s="31"/>
      <c r="B55" s="6"/>
      <c r="C55" s="33"/>
      <c r="D55" s="160"/>
      <c r="E55" s="118"/>
      <c r="F55" s="119" t="str">
        <f t="shared" si="6"/>
        <v> </v>
      </c>
      <c r="G55" s="146">
        <f t="shared" si="5"/>
      </c>
    </row>
    <row r="56" spans="1:7" ht="14.25">
      <c r="A56" s="31"/>
      <c r="B56" s="6"/>
      <c r="C56" s="33"/>
      <c r="D56" s="160"/>
      <c r="E56" s="118"/>
      <c r="F56" s="119" t="str">
        <f t="shared" si="6"/>
        <v> </v>
      </c>
      <c r="G56" s="146">
        <f t="shared" si="5"/>
      </c>
    </row>
    <row r="57" spans="1:7" ht="14.25">
      <c r="A57" s="31"/>
      <c r="B57" s="6"/>
      <c r="C57" s="33"/>
      <c r="D57" s="160"/>
      <c r="E57" s="118"/>
      <c r="F57" s="119" t="str">
        <f t="shared" si="6"/>
        <v> </v>
      </c>
      <c r="G57" s="146">
        <f t="shared" si="5"/>
      </c>
    </row>
    <row r="58" spans="1:7" ht="14.25">
      <c r="A58" s="31"/>
      <c r="B58" s="6"/>
      <c r="C58" s="33"/>
      <c r="D58" s="160"/>
      <c r="E58" s="118"/>
      <c r="F58" s="119" t="str">
        <f t="shared" si="6"/>
        <v> </v>
      </c>
      <c r="G58" s="146">
        <f t="shared" si="5"/>
      </c>
    </row>
    <row r="59" spans="1:7" ht="14.25">
      <c r="A59" s="31"/>
      <c r="B59" s="6"/>
      <c r="C59" s="33"/>
      <c r="D59" s="160"/>
      <c r="E59" s="118"/>
      <c r="F59" s="119" t="str">
        <f t="shared" si="6"/>
        <v> </v>
      </c>
      <c r="G59" s="146">
        <f t="shared" si="5"/>
      </c>
    </row>
    <row r="60" spans="1:7" ht="14.25">
      <c r="A60" s="31"/>
      <c r="B60" s="6"/>
      <c r="C60" s="33"/>
      <c r="D60" s="160"/>
      <c r="E60" s="118"/>
      <c r="F60" s="119" t="str">
        <f t="shared" si="6"/>
        <v> </v>
      </c>
      <c r="G60" s="146">
        <f t="shared" si="5"/>
      </c>
    </row>
    <row r="62" spans="1:10" ht="14.25">
      <c r="A62" s="123"/>
      <c r="B62" s="141"/>
      <c r="C62" s="122"/>
      <c r="D62" s="122"/>
      <c r="E62" s="122"/>
      <c r="F62" s="122"/>
      <c r="G62" s="120"/>
      <c r="H62" s="120"/>
      <c r="I62" s="121"/>
      <c r="J62" s="122"/>
    </row>
    <row r="63" spans="1:11" ht="14.25">
      <c r="A63" s="45" t="s">
        <v>12</v>
      </c>
      <c r="B63" s="137"/>
      <c r="C63" s="75"/>
      <c r="D63" s="76"/>
      <c r="E63" s="77"/>
      <c r="F63" s="77"/>
      <c r="G63" s="78"/>
      <c r="H63" s="79"/>
      <c r="I63" s="80"/>
      <c r="J63" s="80"/>
      <c r="K63" s="80"/>
    </row>
    <row r="64" spans="1:11" ht="14.25">
      <c r="A64" s="87" t="s">
        <v>19</v>
      </c>
      <c r="B64" s="93"/>
      <c r="C64" s="88"/>
      <c r="D64" s="87" t="s">
        <v>6</v>
      </c>
      <c r="E64" s="89"/>
      <c r="F64" s="90"/>
      <c r="G64" s="91"/>
      <c r="H64" s="91"/>
      <c r="I64" s="92"/>
      <c r="J64" s="92"/>
      <c r="K64" s="93"/>
    </row>
    <row r="65" spans="1:11" ht="98.25" customHeight="1">
      <c r="A65" s="128" t="s">
        <v>0</v>
      </c>
      <c r="B65" s="125" t="s">
        <v>28</v>
      </c>
      <c r="C65" s="133" t="s">
        <v>1</v>
      </c>
      <c r="D65" s="128" t="s">
        <v>30</v>
      </c>
      <c r="E65" s="125" t="s">
        <v>24</v>
      </c>
      <c r="F65" s="125"/>
      <c r="G65" s="128" t="s">
        <v>14</v>
      </c>
      <c r="H65" s="127" t="s">
        <v>16</v>
      </c>
      <c r="I65" s="128"/>
      <c r="J65" s="125" t="s">
        <v>15</v>
      </c>
      <c r="K65" s="129" t="s">
        <v>10</v>
      </c>
    </row>
    <row r="66" spans="1:11" ht="14.25">
      <c r="A66" s="32"/>
      <c r="B66" s="147"/>
      <c r="C66" s="13"/>
      <c r="D66" s="12"/>
      <c r="E66" s="25">
        <f aca="true" t="shared" si="7" ref="E66:E71">IF(ISBLANK(D66),"",IF(C66&lt;PetitionDate-(365*2),0,D66*0.7))</f>
      </c>
      <c r="F66" s="24"/>
      <c r="G66" s="169">
        <f>IF(ISBLANK(B66),"",VLOOKUP(B66,'Imputed Interest Rates'!A$2:H$99,8))</f>
      </c>
      <c r="H66" s="11"/>
      <c r="I66" s="94"/>
      <c r="J66" s="109" t="str">
        <f aca="true" t="shared" si="8" ref="J66:J71">IF(ISNUMBER(H66),IF(C66&lt;EffectiveDate-(365*2),0,PMT(($G66/12),($H66*12),-(E66)))," ")</f>
        <v> </v>
      </c>
      <c r="K66" s="112" t="str">
        <f aca="true" t="shared" si="9" ref="K66:K71">IF(ISBLANK(C66)," ",IF(C66&lt;PetitionDate-(365*2),"Not timely","OK"))</f>
        <v> </v>
      </c>
    </row>
    <row r="67" spans="1:11" ht="14.25">
      <c r="A67" s="32"/>
      <c r="B67" s="155"/>
      <c r="C67" s="4"/>
      <c r="D67" s="8"/>
      <c r="E67" s="25">
        <f t="shared" si="7"/>
      </c>
      <c r="F67" s="24"/>
      <c r="G67" s="169">
        <f>IF(ISBLANK(B67),"",VLOOKUP(B67,'Imputed Interest Rates'!A$2:H$99,8))</f>
      </c>
      <c r="H67" s="2"/>
      <c r="I67" s="94"/>
      <c r="J67" s="109" t="str">
        <f t="shared" si="8"/>
        <v> </v>
      </c>
      <c r="K67" s="113" t="str">
        <f t="shared" si="9"/>
        <v> </v>
      </c>
    </row>
    <row r="68" spans="1:11" ht="14.25">
      <c r="A68" s="32"/>
      <c r="B68" s="138"/>
      <c r="C68" s="4"/>
      <c r="D68" s="8"/>
      <c r="E68" s="25">
        <f t="shared" si="7"/>
      </c>
      <c r="F68" s="24"/>
      <c r="G68" s="169">
        <f>IF(ISBLANK(B68),"",VLOOKUP(B68,'Imputed Interest Rates'!A$2:H$99,8))</f>
      </c>
      <c r="H68" s="2"/>
      <c r="I68" s="94"/>
      <c r="J68" s="109" t="str">
        <f t="shared" si="8"/>
        <v> </v>
      </c>
      <c r="K68" s="113" t="str">
        <f t="shared" si="9"/>
        <v> </v>
      </c>
    </row>
    <row r="69" spans="1:11" ht="14.25">
      <c r="A69" s="32"/>
      <c r="B69" s="138"/>
      <c r="C69" s="4"/>
      <c r="D69" s="8"/>
      <c r="E69" s="25">
        <f t="shared" si="7"/>
      </c>
      <c r="F69" s="24"/>
      <c r="G69" s="169">
        <f>IF(ISBLANK(B69),"",VLOOKUP(B69,'Imputed Interest Rates'!A$2:H$99,8))</f>
      </c>
      <c r="H69" s="2"/>
      <c r="I69" s="94"/>
      <c r="J69" s="109" t="str">
        <f t="shared" si="8"/>
        <v> </v>
      </c>
      <c r="K69" s="113" t="str">
        <f t="shared" si="9"/>
        <v> </v>
      </c>
    </row>
    <row r="70" spans="1:11" ht="14.25">
      <c r="A70" s="32"/>
      <c r="B70" s="138"/>
      <c r="C70" s="4"/>
      <c r="D70" s="8"/>
      <c r="E70" s="25">
        <f t="shared" si="7"/>
      </c>
      <c r="F70" s="24"/>
      <c r="G70" s="169">
        <f>IF(ISBLANK(B70),"",VLOOKUP(B70,'Imputed Interest Rates'!A$2:H$99,8))</f>
      </c>
      <c r="H70" s="2"/>
      <c r="I70" s="94"/>
      <c r="J70" s="109" t="str">
        <f t="shared" si="8"/>
        <v> </v>
      </c>
      <c r="K70" s="113" t="str">
        <f t="shared" si="9"/>
        <v> </v>
      </c>
    </row>
    <row r="71" spans="1:11" ht="14.25">
      <c r="A71" s="124"/>
      <c r="B71" s="142"/>
      <c r="C71" s="9"/>
      <c r="D71" s="10"/>
      <c r="E71" s="26">
        <f t="shared" si="7"/>
      </c>
      <c r="F71" s="27"/>
      <c r="G71" s="169">
        <f>IF(ISBLANK(B71),"",VLOOKUP(B71,'Imputed Interest Rates'!A$2:H$99,8))</f>
      </c>
      <c r="H71" s="42"/>
      <c r="I71" s="95"/>
      <c r="J71" s="114" t="str">
        <f t="shared" si="8"/>
        <v> </v>
      </c>
      <c r="K71" s="115" t="str">
        <f t="shared" si="9"/>
        <v> </v>
      </c>
    </row>
    <row r="72" spans="1:11" ht="14.25">
      <c r="A72" s="96" t="s">
        <v>20</v>
      </c>
      <c r="B72" s="143"/>
      <c r="C72" s="97"/>
      <c r="D72" s="98"/>
      <c r="E72" s="25">
        <f>IF(ISNUMBER(E66),SUM(E66:E71),"")</f>
      </c>
      <c r="F72" s="29"/>
      <c r="G72" s="135">
        <f>IF(ISNUMBER(G66),ROUND(SUMPRODUCT(G66:G71,E66:E71)/E72,5),"")</f>
      </c>
      <c r="H72" s="43">
        <f>IF(ISNUMBER(H66),SUMPRODUCT(H66:H71,E66:E71)/E72,"")</f>
      </c>
      <c r="I72" s="41"/>
      <c r="J72" s="109" t="str">
        <f>IF(ISNUMBER(H72),PMT(($G72/12),($H72*12),-(E72))," ")</f>
        <v> </v>
      </c>
      <c r="K72" s="112" t="str">
        <f>IF(ISNUMBER($I72),IF($C72&lt;EffectiveDate-(365*2),0,PMT(($H72/12),($I72*12),-($G72*0.7)))," ")</f>
        <v> </v>
      </c>
    </row>
    <row r="73" spans="1:11" ht="14.25">
      <c r="A73" s="99" t="s">
        <v>21</v>
      </c>
      <c r="B73" s="144"/>
      <c r="C73" s="100"/>
      <c r="D73" s="100"/>
      <c r="E73" s="28">
        <f>IF(ISNUMBER(E72),$F$23+E72,"")</f>
      </c>
      <c r="F73" s="110">
        <f>IF(ISNUMBER(#REF!),G72+$F$23,"")</f>
      </c>
      <c r="G73" s="136">
        <f>IF(ISNUMBER(G72),ROUND((E72*G72+$F$23*$G$18)/($E73),5),"")</f>
      </c>
      <c r="H73" s="44">
        <f>IF(ISNUMBER(H72),ROUND((H72*E72+$F$23*$H$18)/$E73,0),"")</f>
      </c>
      <c r="I73" s="28"/>
      <c r="J73" s="111" t="str">
        <f>IF(ISNUMBER(H73),PMT(($G73/12),($H74*12),-(E73))," ")</f>
        <v> </v>
      </c>
      <c r="K73" s="113"/>
    </row>
    <row r="74" spans="1:11" ht="71.25" customHeight="1">
      <c r="A74" s="101"/>
      <c r="B74" s="145"/>
      <c r="C74" s="102"/>
      <c r="D74" s="103"/>
      <c r="E74" s="104"/>
      <c r="F74" s="183" t="s">
        <v>26</v>
      </c>
      <c r="G74" s="184"/>
      <c r="H74" s="161">
        <f>H73</f>
      </c>
      <c r="I74" s="105" t="s">
        <v>22</v>
      </c>
      <c r="J74" s="116">
        <f>IF(ISNUMBER(E64),J73/E64,"")</f>
      </c>
      <c r="K74" s="153" t="str">
        <f>CONCATENATE("If percent increase is more than 10%, increase amortization period in cell ",ADDRESS(ROW(),8,4)," until percent increase is not more than 10%")</f>
        <v>If percent increase is more than 10%, increase amortization period in cell H74 until percent increase is not more than 10%</v>
      </c>
    </row>
    <row r="75" spans="1:11" ht="15.75" customHeight="1">
      <c r="A75" s="117"/>
      <c r="B75" s="117"/>
      <c r="C75" s="81"/>
      <c r="D75" s="82"/>
      <c r="E75" s="83"/>
      <c r="F75" s="83"/>
      <c r="G75" s="84"/>
      <c r="H75" s="85"/>
      <c r="I75" s="86"/>
      <c r="J75" s="86"/>
      <c r="K75" s="86"/>
    </row>
    <row r="76" spans="1:11" ht="14.25">
      <c r="A76" s="87" t="s">
        <v>19</v>
      </c>
      <c r="B76" s="93"/>
      <c r="C76" s="88"/>
      <c r="D76" s="87" t="s">
        <v>6</v>
      </c>
      <c r="E76" s="89"/>
      <c r="F76" s="90"/>
      <c r="G76" s="91"/>
      <c r="H76" s="91"/>
      <c r="I76" s="92"/>
      <c r="J76" s="92"/>
      <c r="K76" s="93"/>
    </row>
    <row r="77" spans="1:11" ht="87" customHeight="1">
      <c r="A77" s="128" t="s">
        <v>0</v>
      </c>
      <c r="B77" s="125" t="s">
        <v>28</v>
      </c>
      <c r="C77" s="133" t="s">
        <v>1</v>
      </c>
      <c r="D77" s="128" t="s">
        <v>30</v>
      </c>
      <c r="E77" s="125" t="s">
        <v>24</v>
      </c>
      <c r="F77" s="125"/>
      <c r="G77" s="128" t="s">
        <v>14</v>
      </c>
      <c r="H77" s="127" t="s">
        <v>16</v>
      </c>
      <c r="I77" s="128"/>
      <c r="J77" s="125" t="s">
        <v>15</v>
      </c>
      <c r="K77" s="129" t="s">
        <v>10</v>
      </c>
    </row>
    <row r="78" spans="1:11" ht="14.25">
      <c r="A78" s="32"/>
      <c r="B78" s="147"/>
      <c r="C78" s="13"/>
      <c r="D78" s="12"/>
      <c r="E78" s="25">
        <f aca="true" t="shared" si="10" ref="E78:E83">IF(ISBLANK(D78),"",IF(C78&lt;PetitionDate-(365*2),0,D78*0.7))</f>
      </c>
      <c r="F78" s="24"/>
      <c r="G78" s="169">
        <f>IF(ISBLANK(B78),"",VLOOKUP(B78,'Imputed Interest Rates'!A$2:H$99,8))</f>
      </c>
      <c r="H78" s="11"/>
      <c r="I78" s="94"/>
      <c r="J78" s="109" t="str">
        <f aca="true" t="shared" si="11" ref="J78:J83">IF(ISNUMBER(H78),IF(C78&lt;EffectiveDate-(365*2),0,PMT(($G78/12),($H78*12),-(E78)))," ")</f>
        <v> </v>
      </c>
      <c r="K78" s="112" t="str">
        <f aca="true" t="shared" si="12" ref="K78:K83">IF(ISBLANK(C78)," ",IF(C78&lt;PetitionDate-(365*2),"Not timely","OK"))</f>
        <v> </v>
      </c>
    </row>
    <row r="79" spans="1:11" ht="14.25">
      <c r="A79" s="32"/>
      <c r="B79" s="155"/>
      <c r="C79" s="4"/>
      <c r="D79" s="8"/>
      <c r="E79" s="25">
        <f t="shared" si="10"/>
      </c>
      <c r="F79" s="24"/>
      <c r="G79" s="169">
        <f>IF(ISBLANK(B79),"",VLOOKUP(B79,'Imputed Interest Rates'!A$2:H$99,8))</f>
      </c>
      <c r="H79" s="2"/>
      <c r="I79" s="94"/>
      <c r="J79" s="109" t="str">
        <f t="shared" si="11"/>
        <v> </v>
      </c>
      <c r="K79" s="113" t="str">
        <f t="shared" si="12"/>
        <v> </v>
      </c>
    </row>
    <row r="80" spans="1:11" ht="14.25">
      <c r="A80" s="32"/>
      <c r="B80" s="138"/>
      <c r="C80" s="4"/>
      <c r="D80" s="8"/>
      <c r="E80" s="25">
        <f t="shared" si="10"/>
      </c>
      <c r="F80" s="24"/>
      <c r="G80" s="169">
        <f>IF(ISBLANK(B80),"",VLOOKUP(B80,'Imputed Interest Rates'!A$2:H$99,8))</f>
      </c>
      <c r="H80" s="2"/>
      <c r="I80" s="94"/>
      <c r="J80" s="109" t="str">
        <f t="shared" si="11"/>
        <v> </v>
      </c>
      <c r="K80" s="113" t="str">
        <f t="shared" si="12"/>
        <v> </v>
      </c>
    </row>
    <row r="81" spans="1:11" ht="14.25">
      <c r="A81" s="32"/>
      <c r="B81" s="138"/>
      <c r="C81" s="4"/>
      <c r="D81" s="8"/>
      <c r="E81" s="25">
        <f t="shared" si="10"/>
      </c>
      <c r="F81" s="24"/>
      <c r="G81" s="169">
        <f>IF(ISBLANK(B81),"",VLOOKUP(B81,'Imputed Interest Rates'!A$2:H$99,8))</f>
      </c>
      <c r="H81" s="2"/>
      <c r="I81" s="94"/>
      <c r="J81" s="109" t="str">
        <f t="shared" si="11"/>
        <v> </v>
      </c>
      <c r="K81" s="113" t="str">
        <f t="shared" si="12"/>
        <v> </v>
      </c>
    </row>
    <row r="82" spans="1:11" ht="14.25">
      <c r="A82" s="32"/>
      <c r="B82" s="138"/>
      <c r="C82" s="4"/>
      <c r="D82" s="8"/>
      <c r="E82" s="25">
        <f t="shared" si="10"/>
      </c>
      <c r="F82" s="24"/>
      <c r="G82" s="169">
        <f>IF(ISBLANK(B82),"",VLOOKUP(B82,'Imputed Interest Rates'!A$2:H$99,8))</f>
      </c>
      <c r="H82" s="2"/>
      <c r="I82" s="94"/>
      <c r="J82" s="109" t="str">
        <f t="shared" si="11"/>
        <v> </v>
      </c>
      <c r="K82" s="113" t="str">
        <f t="shared" si="12"/>
        <v> </v>
      </c>
    </row>
    <row r="83" spans="1:11" ht="14.25">
      <c r="A83" s="124"/>
      <c r="B83" s="142"/>
      <c r="C83" s="9"/>
      <c r="D83" s="10"/>
      <c r="E83" s="26">
        <f t="shared" si="10"/>
      </c>
      <c r="F83" s="27"/>
      <c r="G83" s="169">
        <f>IF(ISBLANK(B83),"",VLOOKUP(B83,'Imputed Interest Rates'!A$2:H$99,8))</f>
      </c>
      <c r="H83" s="42"/>
      <c r="I83" s="95"/>
      <c r="J83" s="114" t="str">
        <f t="shared" si="11"/>
        <v> </v>
      </c>
      <c r="K83" s="115" t="str">
        <f t="shared" si="12"/>
        <v> </v>
      </c>
    </row>
    <row r="84" spans="1:11" ht="14.25">
      <c r="A84" s="96" t="s">
        <v>20</v>
      </c>
      <c r="B84" s="143"/>
      <c r="C84" s="97"/>
      <c r="D84" s="98"/>
      <c r="E84" s="25">
        <f>IF(ISNUMBER(E78),SUM(E78:E83),"")</f>
      </c>
      <c r="F84" s="29"/>
      <c r="G84" s="135">
        <f>IF(ISNUMBER(G78),ROUND(SUMPRODUCT(G78:G83,E78:E83)/E84,5),"")</f>
      </c>
      <c r="H84" s="43">
        <f>IF(ISNUMBER(H78),SUMPRODUCT(H78:H83,E78:E83)/E84,"")</f>
      </c>
      <c r="I84" s="119"/>
      <c r="J84" s="109" t="str">
        <f>IF(ISNUMBER(H84),PMT(($G84/12),($H84*12),-(E84))," ")</f>
        <v> </v>
      </c>
      <c r="K84" s="112" t="str">
        <f>IF(ISNUMBER($I84),IF($C84&lt;EffectiveDate-(365*2),0,PMT(($H84/12),($I84*12),-($G84*0.7)))," ")</f>
        <v> </v>
      </c>
    </row>
    <row r="85" spans="1:11" ht="14.25">
      <c r="A85" s="99" t="s">
        <v>21</v>
      </c>
      <c r="B85" s="144"/>
      <c r="C85" s="100"/>
      <c r="D85" s="100"/>
      <c r="E85" s="28">
        <f>IF(ISNUMBER(E84),$F$23+E84,"")</f>
      </c>
      <c r="F85" s="110">
        <f>IF(ISNUMBER(#REF!),G84+$F$23,"")</f>
      </c>
      <c r="G85" s="136">
        <f>IF(ISNUMBER(G84),ROUND((E84*G84+$F$23*$G$18)/($E85),5),"")</f>
      </c>
      <c r="H85" s="44">
        <f>IF(ISNUMBER(H84),ROUND((H84*E84+$F$23*$H$18)/$E85,0),"")</f>
      </c>
      <c r="I85" s="28"/>
      <c r="J85" s="111" t="str">
        <f>IF(ISNUMBER(H85),PMT(($G85/12),($H86*12),-(E85))," ")</f>
        <v> </v>
      </c>
      <c r="K85" s="113"/>
    </row>
    <row r="86" spans="1:11" ht="60">
      <c r="A86" s="101"/>
      <c r="B86" s="145"/>
      <c r="C86" s="102"/>
      <c r="D86" s="103"/>
      <c r="E86" s="104"/>
      <c r="F86" s="183" t="s">
        <v>26</v>
      </c>
      <c r="G86" s="184"/>
      <c r="H86" s="161">
        <f>H85</f>
      </c>
      <c r="I86" s="105" t="s">
        <v>22</v>
      </c>
      <c r="J86" s="116">
        <f>IF(ISNUMBER(E76),J85/E76,"")</f>
      </c>
      <c r="K86" s="153" t="str">
        <f>CONCATENATE("If percent increase is more than 10%, increase amortization period in cell ",ADDRESS(ROW(),8,4)," until percent increase is not more than 10%")</f>
        <v>If percent increase is more than 10%, increase amortization period in cell H86 until percent increase is not more than 10%</v>
      </c>
    </row>
    <row r="89" spans="1:11" ht="14.25">
      <c r="A89" s="45" t="s">
        <v>12</v>
      </c>
      <c r="B89" s="137"/>
      <c r="C89" s="75"/>
      <c r="D89" s="76"/>
      <c r="E89" s="77"/>
      <c r="F89" s="77"/>
      <c r="G89" s="78"/>
      <c r="H89" s="79"/>
      <c r="I89" s="80"/>
      <c r="J89" s="80"/>
      <c r="K89" s="80"/>
    </row>
    <row r="90" spans="1:11" ht="14.25">
      <c r="A90" s="87" t="s">
        <v>19</v>
      </c>
      <c r="B90" s="93"/>
      <c r="C90" s="88"/>
      <c r="D90" s="87" t="s">
        <v>6</v>
      </c>
      <c r="E90" s="89"/>
      <c r="F90" s="90"/>
      <c r="G90" s="91"/>
      <c r="H90" s="91"/>
      <c r="I90" s="92"/>
      <c r="J90" s="92"/>
      <c r="K90" s="93"/>
    </row>
    <row r="91" spans="1:11" ht="96.75" customHeight="1">
      <c r="A91" s="128" t="s">
        <v>0</v>
      </c>
      <c r="B91" s="125" t="s">
        <v>28</v>
      </c>
      <c r="C91" s="133" t="s">
        <v>1</v>
      </c>
      <c r="D91" s="128" t="s">
        <v>30</v>
      </c>
      <c r="E91" s="125" t="s">
        <v>24</v>
      </c>
      <c r="F91" s="125"/>
      <c r="G91" s="128" t="s">
        <v>14</v>
      </c>
      <c r="H91" s="127" t="s">
        <v>16</v>
      </c>
      <c r="I91" s="128"/>
      <c r="J91" s="125" t="s">
        <v>15</v>
      </c>
      <c r="K91" s="129" t="s">
        <v>10</v>
      </c>
    </row>
    <row r="92" spans="1:11" ht="14.25">
      <c r="A92" s="32"/>
      <c r="B92" s="147"/>
      <c r="C92" s="13"/>
      <c r="D92" s="12"/>
      <c r="E92" s="25">
        <f aca="true" t="shared" si="13" ref="E92:E97">IF(ISBLANK(D92),"",IF(C92&lt;PetitionDate-(365*2),0,D92*0.7))</f>
      </c>
      <c r="F92" s="24"/>
      <c r="G92" s="169">
        <f>IF(ISBLANK(B92),"",VLOOKUP(B92,'Imputed Interest Rates'!A$2:$H$99,8))</f>
      </c>
      <c r="H92" s="11"/>
      <c r="I92" s="94"/>
      <c r="J92" s="109" t="str">
        <f aca="true" t="shared" si="14" ref="J92:J97">IF(ISNUMBER(H92),IF(C92&lt;EffectiveDate-(365*2),0,PMT(($G92/12),($H92*12),-(E92)))," ")</f>
        <v> </v>
      </c>
      <c r="K92" s="112" t="str">
        <f aca="true" t="shared" si="15" ref="K92:K97">IF(ISBLANK(C92)," ",IF(C92&lt;PetitionDate-(365*2),"Not timely","OK"))</f>
        <v> </v>
      </c>
    </row>
    <row r="93" spans="1:11" ht="14.25">
      <c r="A93" s="32"/>
      <c r="B93" s="155"/>
      <c r="C93" s="4"/>
      <c r="D93" s="8"/>
      <c r="E93" s="25">
        <f t="shared" si="13"/>
      </c>
      <c r="F93" s="24"/>
      <c r="G93" s="169">
        <f>IF(ISBLANK(B93),"",VLOOKUP(B93,'Imputed Interest Rates'!A$2:$H$99,8))</f>
      </c>
      <c r="H93" s="2"/>
      <c r="I93" s="94"/>
      <c r="J93" s="109" t="str">
        <f t="shared" si="14"/>
        <v> </v>
      </c>
      <c r="K93" s="113" t="str">
        <f t="shared" si="15"/>
        <v> </v>
      </c>
    </row>
    <row r="94" spans="1:11" ht="14.25">
      <c r="A94" s="32"/>
      <c r="B94" s="138"/>
      <c r="C94" s="4"/>
      <c r="D94" s="8"/>
      <c r="E94" s="25">
        <f t="shared" si="13"/>
      </c>
      <c r="F94" s="24"/>
      <c r="G94" s="169">
        <f>IF(ISBLANK(B94),"",VLOOKUP(B94,'Imputed Interest Rates'!A$2:$H$99,8))</f>
      </c>
      <c r="H94" s="2"/>
      <c r="I94" s="94"/>
      <c r="J94" s="109" t="str">
        <f t="shared" si="14"/>
        <v> </v>
      </c>
      <c r="K94" s="113" t="str">
        <f t="shared" si="15"/>
        <v> </v>
      </c>
    </row>
    <row r="95" spans="1:11" ht="14.25">
      <c r="A95" s="32"/>
      <c r="B95" s="138"/>
      <c r="C95" s="4"/>
      <c r="D95" s="8"/>
      <c r="E95" s="25">
        <f t="shared" si="13"/>
      </c>
      <c r="F95" s="24"/>
      <c r="G95" s="169">
        <f>IF(ISBLANK(B95),"",VLOOKUP(B95,'Imputed Interest Rates'!A$2:$H$99,8))</f>
      </c>
      <c r="H95" s="2"/>
      <c r="I95" s="94"/>
      <c r="J95" s="109" t="str">
        <f t="shared" si="14"/>
        <v> </v>
      </c>
      <c r="K95" s="113" t="str">
        <f t="shared" si="15"/>
        <v> </v>
      </c>
    </row>
    <row r="96" spans="1:11" ht="14.25">
      <c r="A96" s="32"/>
      <c r="B96" s="138"/>
      <c r="C96" s="4"/>
      <c r="D96" s="8"/>
      <c r="E96" s="25">
        <f t="shared" si="13"/>
      </c>
      <c r="F96" s="24"/>
      <c r="G96" s="169">
        <f>IF(ISBLANK(B96),"",VLOOKUP(B96,'Imputed Interest Rates'!A$2:$H$99,8))</f>
      </c>
      <c r="H96" s="2"/>
      <c r="I96" s="94"/>
      <c r="J96" s="109" t="str">
        <f t="shared" si="14"/>
        <v> </v>
      </c>
      <c r="K96" s="113" t="str">
        <f t="shared" si="15"/>
        <v> </v>
      </c>
    </row>
    <row r="97" spans="1:11" ht="14.25">
      <c r="A97" s="124"/>
      <c r="B97" s="142"/>
      <c r="C97" s="9"/>
      <c r="D97" s="10"/>
      <c r="E97" s="26">
        <f t="shared" si="13"/>
      </c>
      <c r="F97" s="27"/>
      <c r="G97" s="169">
        <f>IF(ISBLANK(B97),"",VLOOKUP(B97,'Imputed Interest Rates'!A$2:$H$99,8))</f>
      </c>
      <c r="H97" s="42"/>
      <c r="I97" s="95"/>
      <c r="J97" s="114" t="str">
        <f t="shared" si="14"/>
        <v> </v>
      </c>
      <c r="K97" s="115" t="str">
        <f t="shared" si="15"/>
        <v> </v>
      </c>
    </row>
    <row r="98" spans="1:11" ht="14.25">
      <c r="A98" s="96" t="s">
        <v>20</v>
      </c>
      <c r="B98" s="143"/>
      <c r="C98" s="97"/>
      <c r="D98" s="98"/>
      <c r="E98" s="25">
        <f>IF(ISNUMBER(E92),SUM(E92:E97),"")</f>
      </c>
      <c r="F98" s="29"/>
      <c r="G98" s="135">
        <f>IF(ISNUMBER(G92),ROUND(SUMPRODUCT(G92:G97,E92:E97)/E98,5),"")</f>
      </c>
      <c r="H98" s="43">
        <f>IF(ISNUMBER(H92),SUMPRODUCT(H92:H97,E92:E97)/E98,"")</f>
      </c>
      <c r="I98" s="119"/>
      <c r="J98" s="109" t="str">
        <f>IF(ISNUMBER(H98),PMT(($G98/12),($H98*12),-(E98))," ")</f>
        <v> </v>
      </c>
      <c r="K98" s="112" t="str">
        <f>IF(ISNUMBER($I98),IF($C98&lt;EffectiveDate-(365*2),0,PMT(($H98/12),($I98*12),-($G98*0.7)))," ")</f>
        <v> </v>
      </c>
    </row>
    <row r="99" spans="1:11" ht="14.25">
      <c r="A99" s="99" t="s">
        <v>21</v>
      </c>
      <c r="B99" s="144"/>
      <c r="C99" s="100"/>
      <c r="D99" s="100"/>
      <c r="E99" s="28">
        <f>IF(ISNUMBER(E98),$F$23+E98,"")</f>
      </c>
      <c r="F99" s="110">
        <f>IF(ISNUMBER(#REF!),G98+$F$23,"")</f>
      </c>
      <c r="G99" s="136">
        <f>IF(ISNUMBER(G98),ROUND((E98*G98+$F$23*$G$18)/($E99),5),"")</f>
      </c>
      <c r="H99" s="44">
        <f>IF(ISNUMBER(H98),ROUND((H98*E98+$F$23*$H$18)/$E99,0),"")</f>
      </c>
      <c r="I99" s="28"/>
      <c r="J99" s="111" t="str">
        <f>IF(ISNUMBER(H99),PMT(($G99/12),($H100*12),-(E99))," ")</f>
        <v> </v>
      </c>
      <c r="K99" s="113"/>
    </row>
    <row r="100" spans="1:11" ht="71.25" customHeight="1">
      <c r="A100" s="101"/>
      <c r="B100" s="145"/>
      <c r="C100" s="102"/>
      <c r="D100" s="103"/>
      <c r="E100" s="104"/>
      <c r="F100" s="183" t="s">
        <v>26</v>
      </c>
      <c r="G100" s="184"/>
      <c r="H100" s="161">
        <f>H99</f>
      </c>
      <c r="I100" s="105" t="s">
        <v>22</v>
      </c>
      <c r="J100" s="116">
        <f>IF(ISNUMBER(E90),J99/E90,"")</f>
      </c>
      <c r="K100" s="153" t="str">
        <f>CONCATENATE("If percent increase is more than 10%, increase amortization period in cell ",ADDRESS(ROW(),8,4)," until percent increase is not more than 10%")</f>
        <v>If percent increase is more than 10%, increase amortization period in cell H100 until percent increase is not more than 10%</v>
      </c>
    </row>
    <row r="101" spans="1:11" ht="15.75" customHeight="1">
      <c r="A101" s="117"/>
      <c r="B101" s="117"/>
      <c r="C101" s="81"/>
      <c r="D101" s="82"/>
      <c r="E101" s="83"/>
      <c r="F101" s="83"/>
      <c r="G101" s="84"/>
      <c r="H101" s="85"/>
      <c r="I101" s="86"/>
      <c r="J101" s="86"/>
      <c r="K101" s="86"/>
    </row>
    <row r="102" spans="1:11" ht="14.25">
      <c r="A102" s="87" t="s">
        <v>19</v>
      </c>
      <c r="B102" s="93"/>
      <c r="C102" s="88"/>
      <c r="D102" s="87" t="s">
        <v>6</v>
      </c>
      <c r="E102" s="89"/>
      <c r="F102" s="90"/>
      <c r="G102" s="91"/>
      <c r="H102" s="91"/>
      <c r="I102" s="92"/>
      <c r="J102" s="92"/>
      <c r="K102" s="93"/>
    </row>
    <row r="103" spans="1:11" ht="94.5" customHeight="1">
      <c r="A103" s="128" t="s">
        <v>0</v>
      </c>
      <c r="B103" s="125" t="s">
        <v>28</v>
      </c>
      <c r="C103" s="133" t="s">
        <v>1</v>
      </c>
      <c r="D103" s="128" t="s">
        <v>30</v>
      </c>
      <c r="E103" s="125" t="s">
        <v>24</v>
      </c>
      <c r="F103" s="125"/>
      <c r="G103" s="128" t="s">
        <v>14</v>
      </c>
      <c r="H103" s="127" t="s">
        <v>16</v>
      </c>
      <c r="I103" s="128"/>
      <c r="J103" s="125" t="s">
        <v>15</v>
      </c>
      <c r="K103" s="129" t="s">
        <v>10</v>
      </c>
    </row>
    <row r="104" spans="1:11" ht="14.25">
      <c r="A104" s="32"/>
      <c r="B104" s="147"/>
      <c r="C104" s="13"/>
      <c r="D104" s="12"/>
      <c r="E104" s="25">
        <f aca="true" t="shared" si="16" ref="E104:E109">IF(ISBLANK(D104),"",IF(C104&lt;PetitionDate-(365*2),0,D104*0.7))</f>
      </c>
      <c r="F104" s="24"/>
      <c r="G104" s="169">
        <f>IF(ISBLANK(B104),"",VLOOKUP(B104,'Imputed Interest Rates'!A$2:$H$99,8))</f>
      </c>
      <c r="H104" s="11"/>
      <c r="I104" s="94"/>
      <c r="J104" s="109" t="str">
        <f aca="true" t="shared" si="17" ref="J104:J109">IF(ISNUMBER(H104),IF(C104&lt;EffectiveDate-(365*2),0,PMT(($G104/12),($H104*12),-(E104)))," ")</f>
        <v> </v>
      </c>
      <c r="K104" s="112" t="str">
        <f aca="true" t="shared" si="18" ref="K104:K109">IF(ISBLANK(C104)," ",IF(C104&lt;PetitionDate-(365*2),"Not timely","OK"))</f>
        <v> </v>
      </c>
    </row>
    <row r="105" spans="1:11" ht="14.25">
      <c r="A105" s="32"/>
      <c r="B105" s="155"/>
      <c r="C105" s="4"/>
      <c r="D105" s="8"/>
      <c r="E105" s="25">
        <f t="shared" si="16"/>
      </c>
      <c r="F105" s="24"/>
      <c r="G105" s="169">
        <f>IF(ISBLANK(B105),"",VLOOKUP(B105,'Imputed Interest Rates'!A$2:$H$99,8))</f>
      </c>
      <c r="H105" s="2"/>
      <c r="I105" s="94"/>
      <c r="J105" s="109" t="str">
        <f t="shared" si="17"/>
        <v> </v>
      </c>
      <c r="K105" s="113" t="str">
        <f t="shared" si="18"/>
        <v> </v>
      </c>
    </row>
    <row r="106" spans="1:11" ht="14.25">
      <c r="A106" s="32"/>
      <c r="B106" s="138"/>
      <c r="C106" s="4"/>
      <c r="D106" s="8"/>
      <c r="E106" s="25">
        <f t="shared" si="16"/>
      </c>
      <c r="F106" s="24"/>
      <c r="G106" s="169">
        <f>IF(ISBLANK(B106),"",VLOOKUP(B106,'Imputed Interest Rates'!A$2:$H$99,8))</f>
      </c>
      <c r="H106" s="2"/>
      <c r="I106" s="94"/>
      <c r="J106" s="109" t="str">
        <f t="shared" si="17"/>
        <v> </v>
      </c>
      <c r="K106" s="113" t="str">
        <f t="shared" si="18"/>
        <v> </v>
      </c>
    </row>
    <row r="107" spans="1:11" ht="14.25">
      <c r="A107" s="32"/>
      <c r="B107" s="138"/>
      <c r="C107" s="4"/>
      <c r="D107" s="8"/>
      <c r="E107" s="25">
        <f t="shared" si="16"/>
      </c>
      <c r="F107" s="24"/>
      <c r="G107" s="169">
        <f>IF(ISBLANK(B107),"",VLOOKUP(B107,'Imputed Interest Rates'!A$2:$H$99,8))</f>
      </c>
      <c r="H107" s="2"/>
      <c r="I107" s="94"/>
      <c r="J107" s="109" t="str">
        <f t="shared" si="17"/>
        <v> </v>
      </c>
      <c r="K107" s="113" t="str">
        <f t="shared" si="18"/>
        <v> </v>
      </c>
    </row>
    <row r="108" spans="1:11" ht="14.25">
      <c r="A108" s="32"/>
      <c r="B108" s="138"/>
      <c r="C108" s="4"/>
      <c r="D108" s="8"/>
      <c r="E108" s="25">
        <f t="shared" si="16"/>
      </c>
      <c r="F108" s="24"/>
      <c r="G108" s="169">
        <f>IF(ISBLANK(B108),"",VLOOKUP(B108,'Imputed Interest Rates'!A$2:$H$99,8))</f>
      </c>
      <c r="H108" s="2"/>
      <c r="I108" s="94"/>
      <c r="J108" s="109" t="str">
        <f t="shared" si="17"/>
        <v> </v>
      </c>
      <c r="K108" s="113" t="str">
        <f t="shared" si="18"/>
        <v> </v>
      </c>
    </row>
    <row r="109" spans="1:11" ht="14.25">
      <c r="A109" s="124"/>
      <c r="B109" s="142"/>
      <c r="C109" s="9"/>
      <c r="D109" s="10"/>
      <c r="E109" s="26">
        <f t="shared" si="16"/>
      </c>
      <c r="F109" s="27"/>
      <c r="G109" s="169">
        <f>IF(ISBLANK(B109),"",VLOOKUP(B109,'Imputed Interest Rates'!A$2:$H$99,8))</f>
      </c>
      <c r="H109" s="42"/>
      <c r="I109" s="95"/>
      <c r="J109" s="114" t="str">
        <f t="shared" si="17"/>
        <v> </v>
      </c>
      <c r="K109" s="115" t="str">
        <f t="shared" si="18"/>
        <v> </v>
      </c>
    </row>
    <row r="110" spans="1:11" ht="14.25">
      <c r="A110" s="96" t="s">
        <v>20</v>
      </c>
      <c r="B110" s="143"/>
      <c r="C110" s="97"/>
      <c r="D110" s="98"/>
      <c r="E110" s="25">
        <f>IF(ISNUMBER(E104),SUM(E104:E109),"")</f>
      </c>
      <c r="F110" s="29"/>
      <c r="G110" s="135">
        <f>IF(ISNUMBER(G104),ROUND(SUMPRODUCT(G104:G109,E104:E109)/E110,5),"")</f>
      </c>
      <c r="H110" s="43">
        <f>IF(ISNUMBER(H104),SUMPRODUCT(H104:H109,E104:E109)/E110,"")</f>
      </c>
      <c r="I110" s="119"/>
      <c r="J110" s="109" t="str">
        <f>IF(ISNUMBER(H110),PMT(($G110/12),($H110*12),-(E110))," ")</f>
        <v> </v>
      </c>
      <c r="K110" s="112" t="str">
        <f>IF(ISNUMBER($I110),IF($C110&lt;EffectiveDate-(365*2),0,PMT(($H110/12),($I110*12),-($G110*0.7)))," ")</f>
        <v> </v>
      </c>
    </row>
    <row r="111" spans="1:11" ht="14.25">
      <c r="A111" s="99" t="s">
        <v>21</v>
      </c>
      <c r="B111" s="144"/>
      <c r="C111" s="100"/>
      <c r="D111" s="100"/>
      <c r="E111" s="28">
        <f>IF(ISNUMBER(E110),$F$23+E110,"")</f>
      </c>
      <c r="F111" s="110">
        <f>IF(ISNUMBER(#REF!),G110+$F$23,"")</f>
      </c>
      <c r="G111" s="136">
        <f>IF(ISNUMBER(G110),ROUND((E110*G110+$F$23*$G$18)/($E111),5),"")</f>
      </c>
      <c r="H111" s="44">
        <f>IF(ISNUMBER(H110),ROUND((H110*E110+$F$23*$H$18)/$E111,0),"")</f>
      </c>
      <c r="I111" s="28"/>
      <c r="J111" s="111" t="str">
        <f>IF(ISNUMBER(H111),PMT(($G111/12),($H112*12),-(E111))," ")</f>
        <v> </v>
      </c>
      <c r="K111" s="113"/>
    </row>
    <row r="112" spans="1:11" ht="72">
      <c r="A112" s="101"/>
      <c r="B112" s="145"/>
      <c r="C112" s="102"/>
      <c r="D112" s="103"/>
      <c r="E112" s="104"/>
      <c r="F112" s="183" t="s">
        <v>26</v>
      </c>
      <c r="G112" s="184"/>
      <c r="H112" s="161">
        <f>H111</f>
      </c>
      <c r="I112" s="105" t="s">
        <v>22</v>
      </c>
      <c r="J112" s="116">
        <f>IF(ISNUMBER(E102),J111/E102,"")</f>
      </c>
      <c r="K112" s="153" t="str">
        <f>_xlfn.CONCAT("If percent increase is more than 10%, increase amortization period in cell ",ADDRESS(ROW(),8,4)," until percent increase is not more than 10%")</f>
        <v>If percent increase is more than 10%, increase amortization period in cell H112 until percent increase is not more than 10%</v>
      </c>
    </row>
    <row r="115" spans="1:11" ht="14.25">
      <c r="A115" s="45" t="s">
        <v>12</v>
      </c>
      <c r="B115" s="137"/>
      <c r="C115" s="75"/>
      <c r="D115" s="76"/>
      <c r="E115" s="77"/>
      <c r="F115" s="77"/>
      <c r="G115" s="78"/>
      <c r="H115" s="79"/>
      <c r="I115" s="80"/>
      <c r="J115" s="80"/>
      <c r="K115" s="80"/>
    </row>
    <row r="116" spans="1:11" ht="14.25">
      <c r="A116" s="87" t="s">
        <v>19</v>
      </c>
      <c r="B116" s="93"/>
      <c r="C116" s="88"/>
      <c r="D116" s="87" t="s">
        <v>6</v>
      </c>
      <c r="E116" s="89"/>
      <c r="F116" s="90"/>
      <c r="G116" s="91"/>
      <c r="H116" s="91"/>
      <c r="I116" s="92"/>
      <c r="J116" s="92"/>
      <c r="K116" s="93"/>
    </row>
    <row r="117" spans="1:11" ht="94.5" customHeight="1">
      <c r="A117" s="128" t="s">
        <v>0</v>
      </c>
      <c r="B117" s="125" t="s">
        <v>28</v>
      </c>
      <c r="C117" s="133" t="s">
        <v>1</v>
      </c>
      <c r="D117" s="128" t="s">
        <v>30</v>
      </c>
      <c r="E117" s="125" t="s">
        <v>24</v>
      </c>
      <c r="F117" s="125"/>
      <c r="G117" s="128" t="s">
        <v>14</v>
      </c>
      <c r="H117" s="127" t="s">
        <v>16</v>
      </c>
      <c r="I117" s="128"/>
      <c r="J117" s="125" t="s">
        <v>15</v>
      </c>
      <c r="K117" s="129" t="s">
        <v>10</v>
      </c>
    </row>
    <row r="118" spans="1:11" ht="14.25">
      <c r="A118" s="32"/>
      <c r="B118" s="147"/>
      <c r="C118" s="13"/>
      <c r="D118" s="12"/>
      <c r="E118" s="25">
        <f aca="true" t="shared" si="19" ref="E118:E123">IF(ISBLANK(D118),"",IF(C118&lt;PetitionDate-(365*2),0,D118*0.7))</f>
      </c>
      <c r="F118" s="24"/>
      <c r="G118" s="169">
        <f>IF(ISBLANK(B118),"",VLOOKUP(B118,'Imputed Interest Rates'!A$2:H$99,8))</f>
      </c>
      <c r="H118" s="11"/>
      <c r="I118" s="94"/>
      <c r="J118" s="109" t="str">
        <f aca="true" t="shared" si="20" ref="J118:J123">IF(ISNUMBER(H118),IF(C118&lt;EffectiveDate-(365*2),0,PMT(($G118/12),($H118*12),-(E118)))," ")</f>
        <v> </v>
      </c>
      <c r="K118" s="112" t="str">
        <f aca="true" t="shared" si="21" ref="K118:K123">IF(ISBLANK(C118)," ",IF(C118&lt;PetitionDate-(365*2),"Not timely","OK"))</f>
        <v> </v>
      </c>
    </row>
    <row r="119" spans="1:11" ht="14.25">
      <c r="A119" s="32"/>
      <c r="B119" s="155"/>
      <c r="C119" s="4"/>
      <c r="D119" s="8"/>
      <c r="E119" s="25">
        <f t="shared" si="19"/>
      </c>
      <c r="F119" s="24"/>
      <c r="G119" s="169">
        <f>IF(ISBLANK(B119),"",VLOOKUP(B119,'Imputed Interest Rates'!A55:H63,8))</f>
      </c>
      <c r="H119" s="2"/>
      <c r="I119" s="94"/>
      <c r="J119" s="109" t="str">
        <f t="shared" si="20"/>
        <v> </v>
      </c>
      <c r="K119" s="113" t="str">
        <f t="shared" si="21"/>
        <v> </v>
      </c>
    </row>
    <row r="120" spans="1:11" ht="14.25">
      <c r="A120" s="32"/>
      <c r="B120" s="138"/>
      <c r="C120" s="4"/>
      <c r="D120" s="8"/>
      <c r="E120" s="25">
        <f t="shared" si="19"/>
      </c>
      <c r="F120" s="24"/>
      <c r="G120" s="169">
        <f>IF(ISBLANK(B120),"",VLOOKUP(B120,'Imputed Interest Rates'!A56:H64,8))</f>
      </c>
      <c r="H120" s="2"/>
      <c r="I120" s="94"/>
      <c r="J120" s="109" t="str">
        <f t="shared" si="20"/>
        <v> </v>
      </c>
      <c r="K120" s="113" t="str">
        <f t="shared" si="21"/>
        <v> </v>
      </c>
    </row>
    <row r="121" spans="1:11" ht="14.25">
      <c r="A121" s="32"/>
      <c r="B121" s="138"/>
      <c r="C121" s="4"/>
      <c r="D121" s="8"/>
      <c r="E121" s="25">
        <f t="shared" si="19"/>
      </c>
      <c r="F121" s="24"/>
      <c r="G121" s="169">
        <f>IF(ISBLANK(B121),"",VLOOKUP(B121,'Imputed Interest Rates'!A57:H65,8))</f>
      </c>
      <c r="H121" s="2"/>
      <c r="I121" s="94"/>
      <c r="J121" s="109" t="str">
        <f t="shared" si="20"/>
        <v> </v>
      </c>
      <c r="K121" s="113" t="str">
        <f t="shared" si="21"/>
        <v> </v>
      </c>
    </row>
    <row r="122" spans="1:11" ht="14.25">
      <c r="A122" s="32"/>
      <c r="B122" s="138"/>
      <c r="C122" s="4"/>
      <c r="D122" s="8"/>
      <c r="E122" s="25">
        <f t="shared" si="19"/>
      </c>
      <c r="F122" s="24"/>
      <c r="G122" s="169">
        <f>IF(ISBLANK(B122),"",VLOOKUP(B122,'Imputed Interest Rates'!A58:H66,8))</f>
      </c>
      <c r="H122" s="2"/>
      <c r="I122" s="94"/>
      <c r="J122" s="109" t="str">
        <f t="shared" si="20"/>
        <v> </v>
      </c>
      <c r="K122" s="113" t="str">
        <f t="shared" si="21"/>
        <v> </v>
      </c>
    </row>
    <row r="123" spans="1:11" ht="14.25">
      <c r="A123" s="124"/>
      <c r="B123" s="142"/>
      <c r="C123" s="9"/>
      <c r="D123" s="10"/>
      <c r="E123" s="26">
        <f t="shared" si="19"/>
      </c>
      <c r="F123" s="27"/>
      <c r="G123" s="169">
        <f>IF(ISBLANK(B123),"",VLOOKUP(B123,'Imputed Interest Rates'!A59:H67,8))</f>
      </c>
      <c r="H123" s="42"/>
      <c r="I123" s="95"/>
      <c r="J123" s="114" t="str">
        <f t="shared" si="20"/>
        <v> </v>
      </c>
      <c r="K123" s="115" t="str">
        <f t="shared" si="21"/>
        <v> </v>
      </c>
    </row>
    <row r="124" spans="1:11" ht="14.25">
      <c r="A124" s="96" t="s">
        <v>20</v>
      </c>
      <c r="B124" s="143"/>
      <c r="C124" s="97"/>
      <c r="D124" s="98"/>
      <c r="E124" s="25">
        <f>IF(ISNUMBER(E118),SUM(E118:E123),"")</f>
      </c>
      <c r="F124" s="29"/>
      <c r="G124" s="135">
        <f>IF(ISNUMBER(G118),ROUND(SUMPRODUCT(G118:G123,E118:E123)/E124,5),"")</f>
      </c>
      <c r="H124" s="43">
        <f>IF(ISNUMBER(H118),SUMPRODUCT(H118:H123,E118:E123)/E124,"")</f>
      </c>
      <c r="I124" s="119"/>
      <c r="J124" s="109" t="str">
        <f>IF(ISNUMBER(H124),PMT(($G124/12),($H124*12),-(E124))," ")</f>
        <v> </v>
      </c>
      <c r="K124" s="112" t="str">
        <f>IF(ISNUMBER($I124),IF($C124&lt;EffectiveDate-(365*2),0,PMT(($H124/12),($I124*12),-($G124*0.7)))," ")</f>
        <v> </v>
      </c>
    </row>
    <row r="125" spans="1:11" ht="14.25">
      <c r="A125" s="99" t="s">
        <v>21</v>
      </c>
      <c r="B125" s="144"/>
      <c r="C125" s="100"/>
      <c r="D125" s="100"/>
      <c r="E125" s="28">
        <f>IF(ISNUMBER(E124),$F$23+E124,"")</f>
      </c>
      <c r="F125" s="110">
        <f>IF(ISNUMBER(#REF!),G124+$F$23,"")</f>
      </c>
      <c r="G125" s="136">
        <f>IF(ISNUMBER(G124),ROUND((E124*G124+$F$23*$G$18)/($E125),5),"")</f>
      </c>
      <c r="H125" s="44">
        <f>IF(ISNUMBER(H124),ROUND((H124*E124+$F$23*$H$18)/$E125,0),"")</f>
      </c>
      <c r="I125" s="28"/>
      <c r="J125" s="111" t="str">
        <f>IF(ISNUMBER(H125),PMT(($G125/12),($H126*12),-(E125))," ")</f>
        <v> </v>
      </c>
      <c r="K125" s="113"/>
    </row>
    <row r="126" spans="1:11" ht="71.25" customHeight="1">
      <c r="A126" s="101"/>
      <c r="B126" s="145"/>
      <c r="C126" s="102"/>
      <c r="D126" s="103"/>
      <c r="E126" s="104"/>
      <c r="F126" s="183" t="s">
        <v>26</v>
      </c>
      <c r="G126" s="184"/>
      <c r="H126" s="161">
        <f>H125</f>
      </c>
      <c r="I126" s="105" t="s">
        <v>22</v>
      </c>
      <c r="J126" s="116">
        <f>IF(ISNUMBER(E116),J125/E116,"")</f>
      </c>
      <c r="K126" s="153" t="str">
        <f>_xlfn.CONCAT("If percent increase is more than 10%, increase amortization period in cell ",ADDRESS(ROW(),8,4)," until percent increase is not more than 10%")</f>
        <v>If percent increase is more than 10%, increase amortization period in cell H126 until percent increase is not more than 10%</v>
      </c>
    </row>
    <row r="127" spans="1:11" ht="15.75" customHeight="1">
      <c r="A127" s="117"/>
      <c r="B127" s="117"/>
      <c r="C127" s="81"/>
      <c r="D127" s="82"/>
      <c r="E127" s="83"/>
      <c r="F127" s="83"/>
      <c r="G127" s="84"/>
      <c r="H127" s="85"/>
      <c r="I127" s="86"/>
      <c r="J127" s="86"/>
      <c r="K127" s="86"/>
    </row>
    <row r="128" spans="1:11" ht="14.25">
      <c r="A128" s="87" t="s">
        <v>19</v>
      </c>
      <c r="B128" s="93"/>
      <c r="C128" s="88"/>
      <c r="D128" s="87" t="s">
        <v>6</v>
      </c>
      <c r="E128" s="89"/>
      <c r="F128" s="90"/>
      <c r="G128" s="91"/>
      <c r="H128" s="91"/>
      <c r="I128" s="92"/>
      <c r="J128" s="92"/>
      <c r="K128" s="93"/>
    </row>
    <row r="129" spans="1:11" ht="90.75" customHeight="1">
      <c r="A129" s="128" t="s">
        <v>0</v>
      </c>
      <c r="B129" s="125" t="s">
        <v>28</v>
      </c>
      <c r="C129" s="133" t="s">
        <v>1</v>
      </c>
      <c r="D129" s="128" t="s">
        <v>30</v>
      </c>
      <c r="E129" s="125" t="s">
        <v>24</v>
      </c>
      <c r="F129" s="125"/>
      <c r="G129" s="128" t="s">
        <v>14</v>
      </c>
      <c r="H129" s="127" t="s">
        <v>16</v>
      </c>
      <c r="I129" s="128"/>
      <c r="J129" s="125" t="s">
        <v>15</v>
      </c>
      <c r="K129" s="129" t="s">
        <v>10</v>
      </c>
    </row>
    <row r="130" spans="1:11" ht="14.25">
      <c r="A130" s="32"/>
      <c r="B130" s="147"/>
      <c r="C130" s="13"/>
      <c r="D130" s="12"/>
      <c r="E130" s="25">
        <f aca="true" t="shared" si="22" ref="E130:E135">IF(ISBLANK(D130),"",IF(C130&lt;PetitionDate-(365*2),0,D130*0.7))</f>
      </c>
      <c r="F130" s="24"/>
      <c r="G130" s="169">
        <f>IF(ISBLANK(B130),"",VLOOKUP(B130,'Imputed Interest Rates'!A$2:H$99,8))</f>
      </c>
      <c r="H130" s="11"/>
      <c r="I130" s="94"/>
      <c r="J130" s="109" t="str">
        <f aca="true" t="shared" si="23" ref="J130:J135">IF(ISNUMBER(H130),IF(C130&lt;EffectiveDate-(365*2),0,PMT(($G130/12),($H130*12),-(E130)))," ")</f>
        <v> </v>
      </c>
      <c r="K130" s="112" t="str">
        <f aca="true" t="shared" si="24" ref="K130:K135">IF(ISBLANK(C130)," ",IF(C130&lt;PetitionDate-(365*2),"Not timely","OK"))</f>
        <v> </v>
      </c>
    </row>
    <row r="131" spans="1:11" ht="14.25">
      <c r="A131" s="32"/>
      <c r="B131" s="155"/>
      <c r="C131" s="4"/>
      <c r="D131" s="8"/>
      <c r="E131" s="25">
        <f t="shared" si="22"/>
      </c>
      <c r="F131" s="24"/>
      <c r="G131" s="169">
        <f>IF(ISBLANK(B131),"",VLOOKUP(B131,'Imputed Interest Rates'!A$2:H$99,8))</f>
      </c>
      <c r="H131" s="2"/>
      <c r="I131" s="94"/>
      <c r="J131" s="109" t="str">
        <f t="shared" si="23"/>
        <v> </v>
      </c>
      <c r="K131" s="113" t="str">
        <f t="shared" si="24"/>
        <v> </v>
      </c>
    </row>
    <row r="132" spans="1:11" ht="14.25">
      <c r="A132" s="32"/>
      <c r="B132" s="138"/>
      <c r="C132" s="4"/>
      <c r="D132" s="8"/>
      <c r="E132" s="25">
        <f t="shared" si="22"/>
      </c>
      <c r="F132" s="24"/>
      <c r="G132" s="169">
        <f>IF(ISBLANK(B132),"",VLOOKUP(B132,'Imputed Interest Rates'!A$2:H$99,8))</f>
      </c>
      <c r="H132" s="2"/>
      <c r="I132" s="94"/>
      <c r="J132" s="109" t="str">
        <f t="shared" si="23"/>
        <v> </v>
      </c>
      <c r="K132" s="113" t="str">
        <f t="shared" si="24"/>
        <v> </v>
      </c>
    </row>
    <row r="133" spans="1:11" ht="14.25">
      <c r="A133" s="32"/>
      <c r="B133" s="138"/>
      <c r="C133" s="4"/>
      <c r="D133" s="8"/>
      <c r="E133" s="25">
        <f t="shared" si="22"/>
      </c>
      <c r="F133" s="24"/>
      <c r="G133" s="169">
        <f>IF(ISBLANK(B133),"",VLOOKUP(B133,'Imputed Interest Rates'!A$2:H$99,8))</f>
      </c>
      <c r="H133" s="2"/>
      <c r="I133" s="94"/>
      <c r="J133" s="109" t="str">
        <f t="shared" si="23"/>
        <v> </v>
      </c>
      <c r="K133" s="113" t="str">
        <f t="shared" si="24"/>
        <v> </v>
      </c>
    </row>
    <row r="134" spans="1:11" ht="14.25">
      <c r="A134" s="32"/>
      <c r="B134" s="138"/>
      <c r="C134" s="4"/>
      <c r="D134" s="8"/>
      <c r="E134" s="25">
        <f t="shared" si="22"/>
      </c>
      <c r="F134" s="24"/>
      <c r="G134" s="169">
        <f>IF(ISBLANK(B134),"",VLOOKUP(B134,'Imputed Interest Rates'!A$2:H$99,8))</f>
      </c>
      <c r="H134" s="2"/>
      <c r="I134" s="94"/>
      <c r="J134" s="109" t="str">
        <f t="shared" si="23"/>
        <v> </v>
      </c>
      <c r="K134" s="113" t="str">
        <f t="shared" si="24"/>
        <v> </v>
      </c>
    </row>
    <row r="135" spans="1:11" ht="14.25">
      <c r="A135" s="124"/>
      <c r="B135" s="142"/>
      <c r="C135" s="9"/>
      <c r="D135" s="10"/>
      <c r="E135" s="26">
        <f t="shared" si="22"/>
      </c>
      <c r="F135" s="27"/>
      <c r="G135" s="169">
        <f>IF(ISBLANK(B135),"",VLOOKUP(B135,'Imputed Interest Rates'!A$2:H$99,8))</f>
      </c>
      <c r="H135" s="42"/>
      <c r="I135" s="95"/>
      <c r="J135" s="114" t="str">
        <f t="shared" si="23"/>
        <v> </v>
      </c>
      <c r="K135" s="115" t="str">
        <f t="shared" si="24"/>
        <v> </v>
      </c>
    </row>
    <row r="136" spans="1:11" ht="14.25">
      <c r="A136" s="96" t="s">
        <v>20</v>
      </c>
      <c r="B136" s="143"/>
      <c r="C136" s="97"/>
      <c r="D136" s="98"/>
      <c r="E136" s="25">
        <f>IF(ISNUMBER(E130),SUM(E130:E135),"")</f>
      </c>
      <c r="F136" s="29"/>
      <c r="G136" s="135">
        <f>IF(ISNUMBER(G130),ROUND(SUMPRODUCT(G130:G135,E130:E135)/E136,5),"")</f>
      </c>
      <c r="H136" s="43">
        <f>IF(ISNUMBER(H130),SUMPRODUCT(H130:H135,E130:E135)/E136,"")</f>
      </c>
      <c r="I136" s="119"/>
      <c r="J136" s="109" t="str">
        <f>IF(ISNUMBER(H136),PMT(($G136/12),($H136*12),-(E136))," ")</f>
        <v> </v>
      </c>
      <c r="K136" s="112" t="str">
        <f>IF(ISNUMBER($I136),IF($C136&lt;EffectiveDate-(365*2),0,PMT(($H136/12),($I136*12),-($G136*0.7)))," ")</f>
        <v> </v>
      </c>
    </row>
    <row r="137" spans="1:11" ht="14.25">
      <c r="A137" s="99" t="s">
        <v>21</v>
      </c>
      <c r="B137" s="144"/>
      <c r="C137" s="100"/>
      <c r="D137" s="100"/>
      <c r="E137" s="28">
        <f>IF(ISNUMBER(E136),$F$23+E136,"")</f>
      </c>
      <c r="F137" s="110">
        <f>IF(ISNUMBER(#REF!),G136+$F$23,"")</f>
      </c>
      <c r="G137" s="136">
        <f>IF(ISNUMBER(G136),ROUND((E136*G136+$F$23*$G$18)/($E137),5),"")</f>
      </c>
      <c r="H137" s="44">
        <f>IF(ISNUMBER(H136),ROUND((H136*E136+$F$23*$H$18)/$E137,0),"")</f>
      </c>
      <c r="I137" s="28"/>
      <c r="J137" s="111" t="str">
        <f>IF(ISNUMBER(H137),PMT(($G137/12),($H138*12),-(E137))," ")</f>
        <v> </v>
      </c>
      <c r="K137" s="113"/>
    </row>
    <row r="138" spans="1:11" ht="72">
      <c r="A138" s="101"/>
      <c r="B138" s="145"/>
      <c r="C138" s="102"/>
      <c r="D138" s="103"/>
      <c r="E138" s="104"/>
      <c r="F138" s="183" t="s">
        <v>26</v>
      </c>
      <c r="G138" s="184"/>
      <c r="H138" s="161">
        <f>H137</f>
      </c>
      <c r="I138" s="105" t="s">
        <v>22</v>
      </c>
      <c r="J138" s="116">
        <f>IF(ISNUMBER(E128),J137/E128,"")</f>
      </c>
      <c r="K138" s="153" t="str">
        <f>_xlfn.CONCAT("If percent increase is more than 10%, increase amortization period in cell ",ADDRESS(ROW(),8,4)," until percent increase is not more than 10%")</f>
        <v>If percent increase is more than 10%, increase amortization period in cell H138 until percent increase is not more than 10%</v>
      </c>
    </row>
    <row r="141" spans="1:11" ht="14.25">
      <c r="A141" s="45" t="s">
        <v>12</v>
      </c>
      <c r="B141" s="137"/>
      <c r="C141" s="75"/>
      <c r="D141" s="76"/>
      <c r="E141" s="77"/>
      <c r="F141" s="77"/>
      <c r="G141" s="78"/>
      <c r="H141" s="79"/>
      <c r="I141" s="80"/>
      <c r="J141" s="80"/>
      <c r="K141" s="80"/>
    </row>
    <row r="142" spans="1:11" ht="14.25">
      <c r="A142" s="87" t="s">
        <v>19</v>
      </c>
      <c r="B142" s="93"/>
      <c r="C142" s="88"/>
      <c r="D142" s="87" t="s">
        <v>6</v>
      </c>
      <c r="E142" s="89"/>
      <c r="F142" s="90"/>
      <c r="G142" s="91"/>
      <c r="H142" s="91"/>
      <c r="I142" s="92"/>
      <c r="J142" s="92"/>
      <c r="K142" s="93"/>
    </row>
    <row r="143" spans="1:11" ht="64.5">
      <c r="A143" s="128" t="s">
        <v>0</v>
      </c>
      <c r="B143" s="125" t="s">
        <v>28</v>
      </c>
      <c r="C143" s="133" t="s">
        <v>1</v>
      </c>
      <c r="D143" s="128" t="s">
        <v>30</v>
      </c>
      <c r="E143" s="125" t="s">
        <v>24</v>
      </c>
      <c r="F143" s="125"/>
      <c r="G143" s="128" t="s">
        <v>14</v>
      </c>
      <c r="H143" s="127" t="s">
        <v>16</v>
      </c>
      <c r="I143" s="128"/>
      <c r="J143" s="125" t="s">
        <v>15</v>
      </c>
      <c r="K143" s="129" t="s">
        <v>10</v>
      </c>
    </row>
    <row r="144" spans="1:11" ht="14.25">
      <c r="A144" s="32"/>
      <c r="B144" s="147"/>
      <c r="C144" s="13"/>
      <c r="D144" s="12"/>
      <c r="E144" s="25">
        <f aca="true" t="shared" si="25" ref="E144:E149">IF(ISBLANK(D144),"",IF(C144&lt;PetitionDate-(365*2),0,D144*0.7))</f>
      </c>
      <c r="F144" s="24"/>
      <c r="G144" s="169">
        <f>IF(ISBLANK(B144),"",VLOOKUP(B144,'Imputed Interest Rates'!A$2:H$99,8))</f>
      </c>
      <c r="H144" s="11"/>
      <c r="I144" s="94"/>
      <c r="J144" s="109" t="str">
        <f aca="true" t="shared" si="26" ref="J144:J149">IF(ISNUMBER(H144),IF(C144&lt;EffectiveDate-(365*2),0,PMT(($G144/12),($H144*12),-(E144)))," ")</f>
        <v> </v>
      </c>
      <c r="K144" s="112" t="str">
        <f aca="true" t="shared" si="27" ref="K144:K149">IF(ISBLANK(C144)," ",IF(C144&lt;PetitionDate-(365*2),"Not timely","OK"))</f>
        <v> </v>
      </c>
    </row>
    <row r="145" spans="1:11" ht="14.25">
      <c r="A145" s="32"/>
      <c r="B145" s="155"/>
      <c r="C145" s="4"/>
      <c r="D145" s="8"/>
      <c r="E145" s="25">
        <f t="shared" si="25"/>
      </c>
      <c r="F145" s="24"/>
      <c r="G145" s="169">
        <f>IF(ISBLANK(B145),"",VLOOKUP(B145,'Imputed Interest Rates'!A$2:H$99,8))</f>
      </c>
      <c r="H145" s="2"/>
      <c r="I145" s="94"/>
      <c r="J145" s="109" t="str">
        <f t="shared" si="26"/>
        <v> </v>
      </c>
      <c r="K145" s="113" t="str">
        <f t="shared" si="27"/>
        <v> </v>
      </c>
    </row>
    <row r="146" spans="1:11" ht="14.25">
      <c r="A146" s="32"/>
      <c r="B146" s="138"/>
      <c r="C146" s="4"/>
      <c r="D146" s="8"/>
      <c r="E146" s="25">
        <f t="shared" si="25"/>
      </c>
      <c r="F146" s="24"/>
      <c r="G146" s="169">
        <f>IF(ISBLANK(B146),"",VLOOKUP(B146,'Imputed Interest Rates'!A$2:H$99,8))</f>
      </c>
      <c r="H146" s="2"/>
      <c r="I146" s="94"/>
      <c r="J146" s="109" t="str">
        <f t="shared" si="26"/>
        <v> </v>
      </c>
      <c r="K146" s="113" t="str">
        <f t="shared" si="27"/>
        <v> </v>
      </c>
    </row>
    <row r="147" spans="1:11" ht="14.25">
      <c r="A147" s="32"/>
      <c r="B147" s="138"/>
      <c r="C147" s="4"/>
      <c r="D147" s="8"/>
      <c r="E147" s="25">
        <f t="shared" si="25"/>
      </c>
      <c r="F147" s="24"/>
      <c r="G147" s="169">
        <f>IF(ISBLANK(B147),"",VLOOKUP(B147,'Imputed Interest Rates'!A$2:H$99,8))</f>
      </c>
      <c r="H147" s="2"/>
      <c r="I147" s="94"/>
      <c r="J147" s="109" t="str">
        <f t="shared" si="26"/>
        <v> </v>
      </c>
      <c r="K147" s="113" t="str">
        <f t="shared" si="27"/>
        <v> </v>
      </c>
    </row>
    <row r="148" spans="1:11" ht="14.25">
      <c r="A148" s="32"/>
      <c r="B148" s="138"/>
      <c r="C148" s="4"/>
      <c r="D148" s="8"/>
      <c r="E148" s="25">
        <f t="shared" si="25"/>
      </c>
      <c r="F148" s="24"/>
      <c r="G148" s="169">
        <f>IF(ISBLANK(B148),"",VLOOKUP(B148,'Imputed Interest Rates'!A$2:H$99,8))</f>
      </c>
      <c r="H148" s="2"/>
      <c r="I148" s="94"/>
      <c r="J148" s="109" t="str">
        <f t="shared" si="26"/>
        <v> </v>
      </c>
      <c r="K148" s="113" t="str">
        <f t="shared" si="27"/>
        <v> </v>
      </c>
    </row>
    <row r="149" spans="1:11" ht="14.25">
      <c r="A149" s="124"/>
      <c r="B149" s="142"/>
      <c r="C149" s="9"/>
      <c r="D149" s="10"/>
      <c r="E149" s="26">
        <f t="shared" si="25"/>
      </c>
      <c r="F149" s="27"/>
      <c r="G149" s="169">
        <f>IF(ISBLANK(B149),"",VLOOKUP(B149,'Imputed Interest Rates'!A$2:H$99,8))</f>
      </c>
      <c r="H149" s="42"/>
      <c r="I149" s="95"/>
      <c r="J149" s="114" t="str">
        <f t="shared" si="26"/>
        <v> </v>
      </c>
      <c r="K149" s="115" t="str">
        <f t="shared" si="27"/>
        <v> </v>
      </c>
    </row>
    <row r="150" spans="1:11" ht="14.25">
      <c r="A150" s="96" t="s">
        <v>20</v>
      </c>
      <c r="B150" s="143"/>
      <c r="C150" s="97"/>
      <c r="D150" s="98"/>
      <c r="E150" s="25">
        <f>IF(ISNUMBER(E144),SUM(E144:E149),"")</f>
      </c>
      <c r="F150" s="29"/>
      <c r="G150" s="135">
        <f>IF(ISNUMBER(G144),ROUND(SUMPRODUCT(G144:G149,E144:E149)/E150,5),"")</f>
      </c>
      <c r="H150" s="43">
        <f>IF(ISNUMBER(H144),SUMPRODUCT(H144:H149,E144:E149)/E150,"")</f>
      </c>
      <c r="I150" s="119"/>
      <c r="J150" s="109" t="str">
        <f>IF(ISNUMBER(H150),PMT(($G150/12),($H150*12),-(E150))," ")</f>
        <v> </v>
      </c>
      <c r="K150" s="112" t="str">
        <f>IF(ISNUMBER($I150),IF($C150&lt;EffectiveDate-(365*2),0,PMT(($H150/12),($I150*12),-($G150*0.7)))," ")</f>
        <v> </v>
      </c>
    </row>
    <row r="151" spans="1:11" ht="14.25">
      <c r="A151" s="99" t="s">
        <v>21</v>
      </c>
      <c r="B151" s="144"/>
      <c r="C151" s="100"/>
      <c r="D151" s="100"/>
      <c r="E151" s="28">
        <f>IF(ISNUMBER(E150),$F$23+E150,"")</f>
      </c>
      <c r="F151" s="110">
        <f>IF(ISNUMBER(#REF!),G150+$F$23,"")</f>
      </c>
      <c r="G151" s="136">
        <f>IF(ISNUMBER(G150),ROUND((E150*G150+$F$23*$G$18)/($E151),5),"")</f>
      </c>
      <c r="H151" s="44">
        <f>IF(ISNUMBER(H150),ROUND((H150*E150+$F$23*$H$18)/$E151,0),"")</f>
      </c>
      <c r="I151" s="28"/>
      <c r="J151" s="111" t="str">
        <f>IF(ISNUMBER(H151),PMT(($G151/12),($H152*12),-(E151))," ")</f>
        <v> </v>
      </c>
      <c r="K151" s="113"/>
    </row>
    <row r="152" spans="1:11" ht="71.25" customHeight="1">
      <c r="A152" s="101"/>
      <c r="B152" s="145"/>
      <c r="C152" s="102"/>
      <c r="D152" s="103"/>
      <c r="E152" s="104"/>
      <c r="F152" s="183" t="s">
        <v>26</v>
      </c>
      <c r="G152" s="184"/>
      <c r="H152" s="161">
        <f>H151</f>
      </c>
      <c r="I152" s="105" t="s">
        <v>22</v>
      </c>
      <c r="J152" s="116">
        <f>IF(ISNUMBER(E142),J151/E142,"")</f>
      </c>
      <c r="K152" s="153" t="str">
        <f>_xlfn.CONCAT("If percent increase is more than 10%, increase amortization period in cell ",ADDRESS(ROW(),8,4)," until percent increase is not more than 10%")</f>
        <v>If percent increase is more than 10%, increase amortization period in cell H152 until percent increase is not more than 10%</v>
      </c>
    </row>
    <row r="153" spans="1:11" ht="15.75" customHeight="1">
      <c r="A153" s="117"/>
      <c r="B153" s="117"/>
      <c r="C153" s="81"/>
      <c r="D153" s="82"/>
      <c r="E153" s="83"/>
      <c r="F153" s="83"/>
      <c r="G153" s="84"/>
      <c r="H153" s="85"/>
      <c r="I153" s="86"/>
      <c r="J153" s="86"/>
      <c r="K153" s="86"/>
    </row>
    <row r="154" spans="1:11" ht="14.25">
      <c r="A154" s="87" t="s">
        <v>19</v>
      </c>
      <c r="B154" s="93"/>
      <c r="C154" s="88"/>
      <c r="D154" s="87" t="s">
        <v>6</v>
      </c>
      <c r="E154" s="89"/>
      <c r="F154" s="90"/>
      <c r="G154" s="91"/>
      <c r="H154" s="91"/>
      <c r="I154" s="92"/>
      <c r="J154" s="92"/>
      <c r="K154" s="93"/>
    </row>
    <row r="155" spans="1:11" ht="64.5">
      <c r="A155" s="128" t="s">
        <v>0</v>
      </c>
      <c r="B155" s="125" t="s">
        <v>28</v>
      </c>
      <c r="C155" s="133" t="s">
        <v>1</v>
      </c>
      <c r="D155" s="128" t="s">
        <v>30</v>
      </c>
      <c r="E155" s="125" t="s">
        <v>24</v>
      </c>
      <c r="F155" s="125"/>
      <c r="G155" s="128" t="s">
        <v>14</v>
      </c>
      <c r="H155" s="127" t="s">
        <v>16</v>
      </c>
      <c r="I155" s="128"/>
      <c r="J155" s="125" t="s">
        <v>15</v>
      </c>
      <c r="K155" s="129" t="s">
        <v>10</v>
      </c>
    </row>
    <row r="156" spans="1:11" ht="14.25">
      <c r="A156" s="32"/>
      <c r="B156" s="147"/>
      <c r="C156" s="13"/>
      <c r="D156" s="12"/>
      <c r="E156" s="25">
        <f aca="true" t="shared" si="28" ref="E156:E161">IF(ISBLANK(D156),"",IF(C156&lt;PetitionDate-(365*2),0,D156*0.7))</f>
      </c>
      <c r="F156" s="24"/>
      <c r="G156" s="169">
        <f>IF(ISBLANK(B156),"",VLOOKUP(B156,'Imputed Interest Rates'!A$2:H$99,8))</f>
      </c>
      <c r="H156" s="11"/>
      <c r="I156" s="94"/>
      <c r="J156" s="109" t="str">
        <f aca="true" t="shared" si="29" ref="J156:J161">IF(ISNUMBER(H156),IF(C156&lt;EffectiveDate-(365*2),0,PMT(($G156/12),($H156*12),-(E156)))," ")</f>
        <v> </v>
      </c>
      <c r="K156" s="112" t="str">
        <f aca="true" t="shared" si="30" ref="K156:K161">IF(ISBLANK(C156)," ",IF(C156&lt;PetitionDate-(365*2),"Not timely","OK"))</f>
        <v> </v>
      </c>
    </row>
    <row r="157" spans="1:11" ht="14.25">
      <c r="A157" s="32"/>
      <c r="B157" s="155"/>
      <c r="C157" s="4"/>
      <c r="D157" s="8"/>
      <c r="E157" s="25">
        <f t="shared" si="28"/>
      </c>
      <c r="F157" s="24"/>
      <c r="G157" s="169">
        <f>IF(ISBLANK(B157),"",VLOOKUP(B157,'Imputed Interest Rates'!A$2:H$99,8))</f>
      </c>
      <c r="H157" s="2"/>
      <c r="I157" s="94"/>
      <c r="J157" s="109" t="str">
        <f t="shared" si="29"/>
        <v> </v>
      </c>
      <c r="K157" s="113" t="str">
        <f t="shared" si="30"/>
        <v> </v>
      </c>
    </row>
    <row r="158" spans="1:11" ht="14.25">
      <c r="A158" s="32"/>
      <c r="B158" s="138"/>
      <c r="C158" s="4"/>
      <c r="D158" s="8"/>
      <c r="E158" s="25">
        <f t="shared" si="28"/>
      </c>
      <c r="F158" s="24"/>
      <c r="G158" s="169">
        <f>IF(ISBLANK(B158),"",VLOOKUP(B158,'Imputed Interest Rates'!A$2:H$99,8))</f>
      </c>
      <c r="H158" s="2"/>
      <c r="I158" s="94"/>
      <c r="J158" s="109" t="str">
        <f t="shared" si="29"/>
        <v> </v>
      </c>
      <c r="K158" s="113" t="str">
        <f t="shared" si="30"/>
        <v> </v>
      </c>
    </row>
    <row r="159" spans="1:11" ht="14.25">
      <c r="A159" s="32"/>
      <c r="B159" s="138"/>
      <c r="C159" s="4"/>
      <c r="D159" s="8"/>
      <c r="E159" s="25">
        <f t="shared" si="28"/>
      </c>
      <c r="F159" s="24"/>
      <c r="G159" s="169">
        <f>IF(ISBLANK(B159),"",VLOOKUP(B159,'Imputed Interest Rates'!A$2:H$99,8))</f>
      </c>
      <c r="H159" s="2"/>
      <c r="I159" s="94"/>
      <c r="J159" s="109" t="str">
        <f t="shared" si="29"/>
        <v> </v>
      </c>
      <c r="K159" s="113" t="str">
        <f t="shared" si="30"/>
        <v> </v>
      </c>
    </row>
    <row r="160" spans="1:11" ht="14.25">
      <c r="A160" s="32"/>
      <c r="B160" s="138"/>
      <c r="C160" s="4"/>
      <c r="D160" s="8"/>
      <c r="E160" s="25">
        <f t="shared" si="28"/>
      </c>
      <c r="F160" s="24"/>
      <c r="G160" s="169">
        <f>IF(ISBLANK(B160),"",VLOOKUP(B160,'Imputed Interest Rates'!A$2:H$99,8))</f>
      </c>
      <c r="H160" s="2"/>
      <c r="I160" s="94"/>
      <c r="J160" s="109" t="str">
        <f t="shared" si="29"/>
        <v> </v>
      </c>
      <c r="K160" s="113" t="str">
        <f t="shared" si="30"/>
        <v> </v>
      </c>
    </row>
    <row r="161" spans="1:11" ht="14.25">
      <c r="A161" s="124"/>
      <c r="B161" s="142"/>
      <c r="C161" s="9"/>
      <c r="D161" s="10"/>
      <c r="E161" s="26">
        <f t="shared" si="28"/>
      </c>
      <c r="F161" s="27"/>
      <c r="G161" s="169">
        <f>IF(ISBLANK(B161),"",VLOOKUP(B161,'Imputed Interest Rates'!A$2:H$99,8))</f>
      </c>
      <c r="H161" s="42"/>
      <c r="I161" s="95"/>
      <c r="J161" s="114" t="str">
        <f t="shared" si="29"/>
        <v> </v>
      </c>
      <c r="K161" s="115" t="str">
        <f t="shared" si="30"/>
        <v> </v>
      </c>
    </row>
    <row r="162" spans="1:11" ht="14.25">
      <c r="A162" s="96" t="s">
        <v>20</v>
      </c>
      <c r="B162" s="143"/>
      <c r="C162" s="97"/>
      <c r="D162" s="98"/>
      <c r="E162" s="25">
        <f>IF(ISNUMBER(E156),SUM(E156:E161),"")</f>
      </c>
      <c r="F162" s="29"/>
      <c r="G162" s="135">
        <f>IF(ISNUMBER(G156),ROUND(SUMPRODUCT(G156:G161,E156:E161)/E162,5),"")</f>
      </c>
      <c r="H162" s="43">
        <f>IF(ISNUMBER(H156),SUMPRODUCT(H156:H161,E156:E161)/E162,"")</f>
      </c>
      <c r="I162" s="119"/>
      <c r="J162" s="109" t="str">
        <f>IF(ISNUMBER(H162),PMT(($G162/12),($H162*12),-(E162))," ")</f>
        <v> </v>
      </c>
      <c r="K162" s="112" t="str">
        <f>IF(ISNUMBER($I162),IF($C162&lt;EffectiveDate-(365*2),0,PMT(($H162/12),($I162*12),-($G162*0.7)))," ")</f>
        <v> </v>
      </c>
    </row>
    <row r="163" spans="1:11" ht="14.25">
      <c r="A163" s="99" t="s">
        <v>21</v>
      </c>
      <c r="B163" s="144"/>
      <c r="C163" s="100"/>
      <c r="D163" s="100"/>
      <c r="E163" s="28">
        <f>IF(ISNUMBER(E162),$F$23+E162,"")</f>
      </c>
      <c r="F163" s="110">
        <f>IF(ISNUMBER(#REF!),G162+$F$23,"")</f>
      </c>
      <c r="G163" s="136">
        <f>IF(ISNUMBER(G162),ROUND((E162*G162+$F$23*$G$18)/($E163),5),"")</f>
      </c>
      <c r="H163" s="44">
        <f>IF(ISNUMBER(H162),ROUND((H162*E162+$F$23*$H$18)/$E163,0),"")</f>
      </c>
      <c r="I163" s="28"/>
      <c r="J163" s="111" t="str">
        <f>IF(ISNUMBER(H163),PMT(($G163/12),($H164*12),-(E163))," ")</f>
        <v> </v>
      </c>
      <c r="K163" s="113"/>
    </row>
    <row r="164" spans="1:11" ht="72">
      <c r="A164" s="101"/>
      <c r="B164" s="145"/>
      <c r="C164" s="102"/>
      <c r="D164" s="103"/>
      <c r="E164" s="104"/>
      <c r="F164" s="183" t="s">
        <v>26</v>
      </c>
      <c r="G164" s="184"/>
      <c r="H164" s="161">
        <f>H163</f>
      </c>
      <c r="I164" s="105" t="s">
        <v>22</v>
      </c>
      <c r="J164" s="116">
        <f>IF(ISNUMBER(E154),J163/E154,"")</f>
      </c>
      <c r="K164" s="153" t="str">
        <f>_xlfn.CONCAT("If percent increase is more than 10%, increase amortization period in cell ",ADDRESS(ROW(),8,4)," until percent increase is not more than 10%")</f>
        <v>If percent increase is more than 10%, increase amortization period in cell H164 until percent increase is not more than 10%</v>
      </c>
    </row>
    <row r="168" spans="1:11" ht="14.25">
      <c r="A168" s="45" t="s">
        <v>12</v>
      </c>
      <c r="B168" s="137"/>
      <c r="C168" s="75"/>
      <c r="D168" s="76"/>
      <c r="E168" s="77"/>
      <c r="F168" s="77"/>
      <c r="G168" s="78"/>
      <c r="H168" s="79"/>
      <c r="I168" s="80"/>
      <c r="J168" s="80"/>
      <c r="K168" s="80"/>
    </row>
    <row r="169" spans="1:11" ht="14.25">
      <c r="A169" s="87" t="s">
        <v>19</v>
      </c>
      <c r="B169" s="93"/>
      <c r="C169" s="88"/>
      <c r="D169" s="87" t="s">
        <v>6</v>
      </c>
      <c r="E169" s="89"/>
      <c r="F169" s="90"/>
      <c r="G169" s="91"/>
      <c r="H169" s="91"/>
      <c r="I169" s="92"/>
      <c r="J169" s="92"/>
      <c r="K169" s="93"/>
    </row>
    <row r="170" spans="1:11" ht="64.5">
      <c r="A170" s="128" t="s">
        <v>0</v>
      </c>
      <c r="B170" s="125" t="s">
        <v>28</v>
      </c>
      <c r="C170" s="133" t="s">
        <v>1</v>
      </c>
      <c r="D170" s="128" t="s">
        <v>30</v>
      </c>
      <c r="E170" s="125" t="s">
        <v>24</v>
      </c>
      <c r="F170" s="125"/>
      <c r="G170" s="128" t="s">
        <v>14</v>
      </c>
      <c r="H170" s="127" t="s">
        <v>16</v>
      </c>
      <c r="I170" s="128"/>
      <c r="J170" s="125" t="s">
        <v>15</v>
      </c>
      <c r="K170" s="129" t="s">
        <v>10</v>
      </c>
    </row>
    <row r="171" spans="1:11" ht="14.25">
      <c r="A171" s="32"/>
      <c r="B171" s="147"/>
      <c r="C171" s="13"/>
      <c r="D171" s="12"/>
      <c r="E171" s="25">
        <f aca="true" t="shared" si="31" ref="E171:E176">IF(ISBLANK(D171),"",IF(C171&lt;PetitionDate-(365*2),0,D171*0.7))</f>
      </c>
      <c r="F171" s="24"/>
      <c r="G171" s="169">
        <f>IF(ISBLANK(B171),"",VLOOKUP(B171,'Imputed Interest Rates'!A$2:H$99,8))</f>
      </c>
      <c r="H171" s="11"/>
      <c r="I171" s="94"/>
      <c r="J171" s="109" t="str">
        <f aca="true" t="shared" si="32" ref="J171:J176">IF(ISNUMBER(H171),IF(C171&lt;EffectiveDate-(365*2),0,PMT(($G171/12),($H171*12),-(E171)))," ")</f>
        <v> </v>
      </c>
      <c r="K171" s="112" t="str">
        <f aca="true" t="shared" si="33" ref="K171:K176">IF(ISBLANK(C171)," ",IF(C171&lt;PetitionDate-(365*2),"Not timely","OK"))</f>
        <v> </v>
      </c>
    </row>
    <row r="172" spans="1:11" ht="14.25">
      <c r="A172" s="32"/>
      <c r="B172" s="155"/>
      <c r="C172" s="4"/>
      <c r="D172" s="8"/>
      <c r="E172" s="25">
        <f t="shared" si="31"/>
      </c>
      <c r="F172" s="24"/>
      <c r="G172" s="169">
        <f>IF(ISBLANK(B172),"",VLOOKUP(B172,'Imputed Interest Rates'!A$2:H$99,8))</f>
      </c>
      <c r="H172" s="2"/>
      <c r="I172" s="94"/>
      <c r="J172" s="109" t="str">
        <f t="shared" si="32"/>
        <v> </v>
      </c>
      <c r="K172" s="113" t="str">
        <f t="shared" si="33"/>
        <v> </v>
      </c>
    </row>
    <row r="173" spans="1:11" ht="14.25">
      <c r="A173" s="32"/>
      <c r="B173" s="138"/>
      <c r="C173" s="4"/>
      <c r="D173" s="8"/>
      <c r="E173" s="25">
        <f t="shared" si="31"/>
      </c>
      <c r="F173" s="24"/>
      <c r="G173" s="169">
        <f>IF(ISBLANK(B173),"",VLOOKUP(B173,'Imputed Interest Rates'!A$2:H$99,8))</f>
      </c>
      <c r="H173" s="2"/>
      <c r="I173" s="94"/>
      <c r="J173" s="109" t="str">
        <f t="shared" si="32"/>
        <v> </v>
      </c>
      <c r="K173" s="113" t="str">
        <f t="shared" si="33"/>
        <v> </v>
      </c>
    </row>
    <row r="174" spans="1:11" ht="14.25">
      <c r="A174" s="32"/>
      <c r="B174" s="138"/>
      <c r="C174" s="4"/>
      <c r="D174" s="8"/>
      <c r="E174" s="25">
        <f t="shared" si="31"/>
      </c>
      <c r="F174" s="24"/>
      <c r="G174" s="169">
        <f>IF(ISBLANK(B174),"",VLOOKUP(B174,'Imputed Interest Rates'!A$2:H$99,8))</f>
      </c>
      <c r="H174" s="2"/>
      <c r="I174" s="94"/>
      <c r="J174" s="109" t="str">
        <f t="shared" si="32"/>
        <v> </v>
      </c>
      <c r="K174" s="113" t="str">
        <f t="shared" si="33"/>
        <v> </v>
      </c>
    </row>
    <row r="175" spans="1:11" ht="14.25">
      <c r="A175" s="32"/>
      <c r="B175" s="138"/>
      <c r="C175" s="4"/>
      <c r="D175" s="8"/>
      <c r="E175" s="25">
        <f t="shared" si="31"/>
      </c>
      <c r="F175" s="24"/>
      <c r="G175" s="169">
        <f>IF(ISBLANK(B175),"",VLOOKUP(B175,'Imputed Interest Rates'!A$2:H$99,8))</f>
      </c>
      <c r="H175" s="2"/>
      <c r="I175" s="94"/>
      <c r="J175" s="109" t="str">
        <f t="shared" si="32"/>
        <v> </v>
      </c>
      <c r="K175" s="113" t="str">
        <f t="shared" si="33"/>
        <v> </v>
      </c>
    </row>
    <row r="176" spans="1:11" ht="14.25">
      <c r="A176" s="124"/>
      <c r="B176" s="142"/>
      <c r="C176" s="9"/>
      <c r="D176" s="10"/>
      <c r="E176" s="26">
        <f t="shared" si="31"/>
      </c>
      <c r="F176" s="27"/>
      <c r="G176" s="169">
        <f>IF(ISBLANK(B176),"",VLOOKUP(B176,'Imputed Interest Rates'!A$2:H$99,8))</f>
      </c>
      <c r="H176" s="42"/>
      <c r="I176" s="95"/>
      <c r="J176" s="114" t="str">
        <f t="shared" si="32"/>
        <v> </v>
      </c>
      <c r="K176" s="115" t="str">
        <f t="shared" si="33"/>
        <v> </v>
      </c>
    </row>
    <row r="177" spans="1:11" ht="14.25">
      <c r="A177" s="96" t="s">
        <v>20</v>
      </c>
      <c r="B177" s="143"/>
      <c r="C177" s="97"/>
      <c r="D177" s="98"/>
      <c r="E177" s="25">
        <f>IF(ISNUMBER(E171),SUM(E171:E176),"")</f>
      </c>
      <c r="F177" s="29"/>
      <c r="G177" s="135">
        <f>IF(ISNUMBER(G171),ROUND(SUMPRODUCT(G171:G176,E171:E176)/E177,5),"")</f>
      </c>
      <c r="H177" s="43">
        <f>IF(ISNUMBER(H171),SUMPRODUCT(H171:H176,E171:E176)/E177,"")</f>
      </c>
      <c r="I177" s="119"/>
      <c r="J177" s="109" t="str">
        <f>IF(ISNUMBER(H177),PMT(($G177/12),($H177*12),-(E177))," ")</f>
        <v> </v>
      </c>
      <c r="K177" s="112" t="str">
        <f>IF(ISNUMBER($I177),IF($C177&lt;EffectiveDate-(365*2),0,PMT(($H177/12),($I177*12),-($G177*0.7)))," ")</f>
        <v> </v>
      </c>
    </row>
    <row r="178" spans="1:11" ht="14.25">
      <c r="A178" s="99" t="s">
        <v>21</v>
      </c>
      <c r="B178" s="144"/>
      <c r="C178" s="100"/>
      <c r="D178" s="100"/>
      <c r="E178" s="28">
        <f>IF(ISNUMBER(E177),$F$23+E177,"")</f>
      </c>
      <c r="F178" s="110">
        <f>IF(ISNUMBER(#REF!),G177+$F$23,"")</f>
      </c>
      <c r="G178" s="136">
        <f>IF(ISNUMBER(G177),ROUND((E177*G177+$F$23*$G$18)/($E178),5),"")</f>
      </c>
      <c r="H178" s="44">
        <f>IF(ISNUMBER(H177),ROUND((H177*E177+$F$23*$H$18)/$E178,0),"")</f>
      </c>
      <c r="I178" s="28"/>
      <c r="J178" s="111" t="str">
        <f>IF(ISNUMBER(H178),PMT(($G178/12),($H179*12),-(E178))," ")</f>
        <v> </v>
      </c>
      <c r="K178" s="113"/>
    </row>
    <row r="179" spans="1:11" ht="71.25" customHeight="1">
      <c r="A179" s="101"/>
      <c r="B179" s="145"/>
      <c r="C179" s="102"/>
      <c r="D179" s="103"/>
      <c r="E179" s="104"/>
      <c r="F179" s="183" t="s">
        <v>26</v>
      </c>
      <c r="G179" s="184"/>
      <c r="H179" s="161">
        <f>H178</f>
      </c>
      <c r="I179" s="105" t="s">
        <v>22</v>
      </c>
      <c r="J179" s="116">
        <f>IF(ISNUMBER(E169),J178/E169,"")</f>
      </c>
      <c r="K179" s="153" t="str">
        <f>_xlfn.CONCAT("If percent increase is more than 10%, increase amortization period in cell ",ADDRESS(ROW(),8,4)," until percent increase is not more than 10%")</f>
        <v>If percent increase is more than 10%, increase amortization period in cell H179 until percent increase is not more than 10%</v>
      </c>
    </row>
    <row r="180" spans="1:11" ht="15.75" customHeight="1">
      <c r="A180" s="117"/>
      <c r="B180" s="117"/>
      <c r="C180" s="81"/>
      <c r="D180" s="82"/>
      <c r="E180" s="83"/>
      <c r="F180" s="83"/>
      <c r="G180" s="84"/>
      <c r="H180" s="85"/>
      <c r="I180" s="86"/>
      <c r="J180" s="86"/>
      <c r="K180" s="86"/>
    </row>
    <row r="181" spans="1:11" ht="14.25">
      <c r="A181" s="87" t="s">
        <v>19</v>
      </c>
      <c r="B181" s="93"/>
      <c r="C181" s="88"/>
      <c r="D181" s="87" t="s">
        <v>6</v>
      </c>
      <c r="E181" s="89"/>
      <c r="F181" s="90"/>
      <c r="G181" s="91"/>
      <c r="H181" s="91"/>
      <c r="I181" s="92"/>
      <c r="J181" s="92"/>
      <c r="K181" s="93"/>
    </row>
    <row r="182" spans="1:11" ht="64.5">
      <c r="A182" s="128" t="s">
        <v>0</v>
      </c>
      <c r="B182" s="125" t="s">
        <v>28</v>
      </c>
      <c r="C182" s="133" t="s">
        <v>1</v>
      </c>
      <c r="D182" s="128" t="s">
        <v>30</v>
      </c>
      <c r="E182" s="125" t="s">
        <v>24</v>
      </c>
      <c r="F182" s="125"/>
      <c r="G182" s="128" t="s">
        <v>14</v>
      </c>
      <c r="H182" s="127" t="s">
        <v>16</v>
      </c>
      <c r="I182" s="128"/>
      <c r="J182" s="125" t="s">
        <v>15</v>
      </c>
      <c r="K182" s="129" t="s">
        <v>10</v>
      </c>
    </row>
    <row r="183" spans="1:11" ht="14.25">
      <c r="A183" s="32"/>
      <c r="B183" s="147"/>
      <c r="C183" s="13"/>
      <c r="D183" s="12"/>
      <c r="E183" s="25">
        <f aca="true" t="shared" si="34" ref="E183:E188">IF(ISBLANK(D183),"",IF(C183&lt;PetitionDate-(365*2),0,D183*0.7))</f>
      </c>
      <c r="F183" s="24"/>
      <c r="G183" s="169">
        <f>IF(ISBLANK(B183),"",VLOOKUP(B183,'Imputed Interest Rates'!A$2:H$99,8))</f>
      </c>
      <c r="H183" s="11"/>
      <c r="I183" s="94"/>
      <c r="J183" s="109" t="str">
        <f aca="true" t="shared" si="35" ref="J183:J188">IF(ISNUMBER(H183),IF(C183&lt;EffectiveDate-(365*2),0,PMT(($G183/12),($H183*12),-(E183)))," ")</f>
        <v> </v>
      </c>
      <c r="K183" s="112" t="str">
        <f aca="true" t="shared" si="36" ref="K183:K188">IF(ISBLANK(C183)," ",IF(C183&lt;PetitionDate-(365*2),"Not timely","OK"))</f>
        <v> </v>
      </c>
    </row>
    <row r="184" spans="1:11" ht="14.25">
      <c r="A184" s="32"/>
      <c r="B184" s="155"/>
      <c r="C184" s="4"/>
      <c r="D184" s="8"/>
      <c r="E184" s="25">
        <f t="shared" si="34"/>
      </c>
      <c r="F184" s="24"/>
      <c r="G184" s="169">
        <f>IF(ISBLANK(B184),"",VLOOKUP(B184,'Imputed Interest Rates'!A$2:H$99,8))</f>
      </c>
      <c r="H184" s="2"/>
      <c r="I184" s="94"/>
      <c r="J184" s="109" t="str">
        <f t="shared" si="35"/>
        <v> </v>
      </c>
      <c r="K184" s="113" t="str">
        <f t="shared" si="36"/>
        <v> </v>
      </c>
    </row>
    <row r="185" spans="1:11" ht="14.25">
      <c r="A185" s="32"/>
      <c r="B185" s="138"/>
      <c r="C185" s="4"/>
      <c r="D185" s="8"/>
      <c r="E185" s="25">
        <f t="shared" si="34"/>
      </c>
      <c r="F185" s="24"/>
      <c r="G185" s="169">
        <f>IF(ISBLANK(B185),"",VLOOKUP(B185,'Imputed Interest Rates'!A$2:H$99,8))</f>
      </c>
      <c r="H185" s="2"/>
      <c r="I185" s="94"/>
      <c r="J185" s="109" t="str">
        <f t="shared" si="35"/>
        <v> </v>
      </c>
      <c r="K185" s="113" t="str">
        <f t="shared" si="36"/>
        <v> </v>
      </c>
    </row>
    <row r="186" spans="1:11" ht="14.25">
      <c r="A186" s="32"/>
      <c r="B186" s="138"/>
      <c r="C186" s="4"/>
      <c r="D186" s="8"/>
      <c r="E186" s="25">
        <f t="shared" si="34"/>
      </c>
      <c r="F186" s="24"/>
      <c r="G186" s="169">
        <f>IF(ISBLANK(B186),"",VLOOKUP(B186,'Imputed Interest Rates'!A$2:H$99,8))</f>
      </c>
      <c r="H186" s="2"/>
      <c r="I186" s="94"/>
      <c r="J186" s="109" t="str">
        <f t="shared" si="35"/>
        <v> </v>
      </c>
      <c r="K186" s="113" t="str">
        <f t="shared" si="36"/>
        <v> </v>
      </c>
    </row>
    <row r="187" spans="1:11" ht="14.25">
      <c r="A187" s="32"/>
      <c r="B187" s="138"/>
      <c r="C187" s="4"/>
      <c r="D187" s="8"/>
      <c r="E187" s="25">
        <f t="shared" si="34"/>
      </c>
      <c r="F187" s="24"/>
      <c r="G187" s="169">
        <f>IF(ISBLANK(B187),"",VLOOKUP(B187,'Imputed Interest Rates'!A$2:H$99,8))</f>
      </c>
      <c r="H187" s="2"/>
      <c r="I187" s="94"/>
      <c r="J187" s="109" t="str">
        <f t="shared" si="35"/>
        <v> </v>
      </c>
      <c r="K187" s="113" t="str">
        <f t="shared" si="36"/>
        <v> </v>
      </c>
    </row>
    <row r="188" spans="1:11" ht="14.25">
      <c r="A188" s="124"/>
      <c r="B188" s="142"/>
      <c r="C188" s="9"/>
      <c r="D188" s="10"/>
      <c r="E188" s="26">
        <f t="shared" si="34"/>
      </c>
      <c r="F188" s="27"/>
      <c r="G188" s="169">
        <f>IF(ISBLANK(B188),"",VLOOKUP(B188,'Imputed Interest Rates'!A$2:H$99,8))</f>
      </c>
      <c r="H188" s="42"/>
      <c r="I188" s="95"/>
      <c r="J188" s="114" t="str">
        <f t="shared" si="35"/>
        <v> </v>
      </c>
      <c r="K188" s="115" t="str">
        <f t="shared" si="36"/>
        <v> </v>
      </c>
    </row>
    <row r="189" spans="1:11" ht="14.25">
      <c r="A189" s="96" t="s">
        <v>20</v>
      </c>
      <c r="B189" s="143"/>
      <c r="C189" s="97"/>
      <c r="D189" s="98"/>
      <c r="E189" s="25">
        <f>IF(ISNUMBER(E183),SUM(E183:E188),"")</f>
      </c>
      <c r="F189" s="29"/>
      <c r="G189" s="135">
        <f>IF(ISNUMBER(G183),ROUND(SUMPRODUCT(G183:G188,E183:E188)/E189,5),"")</f>
      </c>
      <c r="H189" s="43">
        <f>IF(ISNUMBER(H183),SUMPRODUCT(H183:H188,E183:E188)/E189,"")</f>
      </c>
      <c r="I189" s="119"/>
      <c r="J189" s="109" t="str">
        <f>IF(ISNUMBER(H189),PMT(($G189/12),($H189*12),-(E189))," ")</f>
        <v> </v>
      </c>
      <c r="K189" s="112" t="str">
        <f>IF(ISNUMBER($I189),IF($C189&lt;EffectiveDate-(365*2),0,PMT(($H189/12),($I189*12),-($G189*0.7)))," ")</f>
        <v> </v>
      </c>
    </row>
    <row r="190" spans="1:11" ht="14.25">
      <c r="A190" s="99" t="s">
        <v>21</v>
      </c>
      <c r="B190" s="144"/>
      <c r="C190" s="100"/>
      <c r="D190" s="100"/>
      <c r="E190" s="28">
        <f>IF(ISNUMBER(E189),$F$23+E189,"")</f>
      </c>
      <c r="F190" s="110">
        <f>IF(ISNUMBER(#REF!),G189+$F$23,"")</f>
      </c>
      <c r="G190" s="136">
        <f>IF(ISNUMBER(G189),ROUND((E189*G189+$F$23*$G$18)/($E190),5),"")</f>
      </c>
      <c r="H190" s="44">
        <f>IF(ISNUMBER(H189),ROUND((H189*E189+$F$23*$H$18)/$E190,0),"")</f>
      </c>
      <c r="I190" s="28"/>
      <c r="J190" s="111" t="str">
        <f>IF(ISNUMBER(H190),PMT(($G190/12),($H191*12),-(E190))," ")</f>
        <v> </v>
      </c>
      <c r="K190" s="113"/>
    </row>
    <row r="191" spans="1:11" ht="72">
      <c r="A191" s="101"/>
      <c r="B191" s="145"/>
      <c r="C191" s="102"/>
      <c r="D191" s="103"/>
      <c r="E191" s="104"/>
      <c r="F191" s="183" t="s">
        <v>26</v>
      </c>
      <c r="G191" s="184"/>
      <c r="H191" s="161">
        <f>H190</f>
      </c>
      <c r="I191" s="105" t="s">
        <v>22</v>
      </c>
      <c r="J191" s="116">
        <f>IF(ISNUMBER(E181),J190/E181,"")</f>
      </c>
      <c r="K191" s="153" t="str">
        <f>_xlfn.CONCAT("If percent increase is more than 10%, increase amortization period in cell ",ADDRESS(ROW(),8,4)," until percent increase is not more than 10%")</f>
        <v>If percent increase is more than 10%, increase amortization period in cell H191 until percent increase is not more than 10%</v>
      </c>
    </row>
    <row r="194" spans="1:11" ht="14.25">
      <c r="A194" s="45" t="s">
        <v>12</v>
      </c>
      <c r="B194" s="137"/>
      <c r="C194" s="75"/>
      <c r="D194" s="76"/>
      <c r="E194" s="77"/>
      <c r="F194" s="77"/>
      <c r="G194" s="78"/>
      <c r="H194" s="79"/>
      <c r="I194" s="80"/>
      <c r="J194" s="80"/>
      <c r="K194" s="80"/>
    </row>
    <row r="195" spans="1:11" ht="14.25">
      <c r="A195" s="87" t="s">
        <v>19</v>
      </c>
      <c r="B195" s="93"/>
      <c r="C195" s="88"/>
      <c r="D195" s="87" t="s">
        <v>6</v>
      </c>
      <c r="E195" s="89"/>
      <c r="F195" s="90"/>
      <c r="G195" s="91"/>
      <c r="H195" s="91"/>
      <c r="I195" s="92"/>
      <c r="J195" s="92"/>
      <c r="K195" s="93"/>
    </row>
    <row r="196" spans="1:11" ht="64.5">
      <c r="A196" s="128" t="s">
        <v>0</v>
      </c>
      <c r="B196" s="125" t="s">
        <v>28</v>
      </c>
      <c r="C196" s="133" t="s">
        <v>1</v>
      </c>
      <c r="D196" s="128" t="s">
        <v>30</v>
      </c>
      <c r="E196" s="125" t="s">
        <v>24</v>
      </c>
      <c r="F196" s="125"/>
      <c r="G196" s="128" t="s">
        <v>14</v>
      </c>
      <c r="H196" s="127" t="s">
        <v>16</v>
      </c>
      <c r="I196" s="128"/>
      <c r="J196" s="125" t="s">
        <v>15</v>
      </c>
      <c r="K196" s="129" t="s">
        <v>10</v>
      </c>
    </row>
    <row r="197" spans="1:11" ht="14.25">
      <c r="A197" s="32"/>
      <c r="B197" s="147"/>
      <c r="C197" s="13"/>
      <c r="D197" s="12"/>
      <c r="E197" s="25">
        <f aca="true" t="shared" si="37" ref="E197:E202">IF(ISBLANK(D197),"",IF(C197&lt;PetitionDate-(365*2),0,D197*0.7))</f>
      </c>
      <c r="F197" s="24"/>
      <c r="G197" s="169">
        <f>IF(ISBLANK(B197),"",VLOOKUP(B197,'Imputed Interest Rates'!A$2:H$99,8))</f>
      </c>
      <c r="H197" s="11"/>
      <c r="I197" s="94"/>
      <c r="J197" s="109" t="str">
        <f aca="true" t="shared" si="38" ref="J197:J202">IF(ISNUMBER(H197),IF(C197&lt;EffectiveDate-(365*2),0,PMT(($G197/12),($H197*12),-(E197)))," ")</f>
        <v> </v>
      </c>
      <c r="K197" s="112" t="str">
        <f aca="true" t="shared" si="39" ref="K197:K202">IF(ISBLANK(C197)," ",IF(C197&lt;PetitionDate-(365*2),"Not timely","OK"))</f>
        <v> </v>
      </c>
    </row>
    <row r="198" spans="1:11" ht="14.25">
      <c r="A198" s="32"/>
      <c r="B198" s="155"/>
      <c r="C198" s="4"/>
      <c r="D198" s="8"/>
      <c r="E198" s="25">
        <f t="shared" si="37"/>
      </c>
      <c r="F198" s="24"/>
      <c r="G198" s="169">
        <f>IF(ISBLANK(B198),"",VLOOKUP(B198,'Imputed Interest Rates'!A$2:H$99,8))</f>
      </c>
      <c r="H198" s="2"/>
      <c r="I198" s="94"/>
      <c r="J198" s="109" t="str">
        <f t="shared" si="38"/>
        <v> </v>
      </c>
      <c r="K198" s="113" t="str">
        <f t="shared" si="39"/>
        <v> </v>
      </c>
    </row>
    <row r="199" spans="1:11" ht="14.25">
      <c r="A199" s="32"/>
      <c r="B199" s="138"/>
      <c r="C199" s="4"/>
      <c r="D199" s="8"/>
      <c r="E199" s="25">
        <f t="shared" si="37"/>
      </c>
      <c r="F199" s="24"/>
      <c r="G199" s="169">
        <f>IF(ISBLANK(B199),"",VLOOKUP(B199,'Imputed Interest Rates'!A$2:H$99,8))</f>
      </c>
      <c r="H199" s="2"/>
      <c r="I199" s="94"/>
      <c r="J199" s="109" t="str">
        <f t="shared" si="38"/>
        <v> </v>
      </c>
      <c r="K199" s="113" t="str">
        <f t="shared" si="39"/>
        <v> </v>
      </c>
    </row>
    <row r="200" spans="1:11" ht="14.25">
      <c r="A200" s="32"/>
      <c r="B200" s="138"/>
      <c r="C200" s="4"/>
      <c r="D200" s="8"/>
      <c r="E200" s="25">
        <f t="shared" si="37"/>
      </c>
      <c r="F200" s="24"/>
      <c r="G200" s="169">
        <f>IF(ISBLANK(B200),"",VLOOKUP(B200,'Imputed Interest Rates'!A$2:H$99,8))</f>
      </c>
      <c r="H200" s="2"/>
      <c r="I200" s="94"/>
      <c r="J200" s="109" t="str">
        <f t="shared" si="38"/>
        <v> </v>
      </c>
      <c r="K200" s="113" t="str">
        <f t="shared" si="39"/>
        <v> </v>
      </c>
    </row>
    <row r="201" spans="1:11" ht="14.25">
      <c r="A201" s="32"/>
      <c r="B201" s="138"/>
      <c r="C201" s="4"/>
      <c r="D201" s="8"/>
      <c r="E201" s="25">
        <f t="shared" si="37"/>
      </c>
      <c r="F201" s="24"/>
      <c r="G201" s="169">
        <f>IF(ISBLANK(B201),"",VLOOKUP(B201,'Imputed Interest Rates'!A$2:H$99,8))</f>
      </c>
      <c r="H201" s="2"/>
      <c r="I201" s="94"/>
      <c r="J201" s="109" t="str">
        <f t="shared" si="38"/>
        <v> </v>
      </c>
      <c r="K201" s="113" t="str">
        <f t="shared" si="39"/>
        <v> </v>
      </c>
    </row>
    <row r="202" spans="1:11" ht="14.25">
      <c r="A202" s="124"/>
      <c r="B202" s="142"/>
      <c r="C202" s="9"/>
      <c r="D202" s="10"/>
      <c r="E202" s="26">
        <f t="shared" si="37"/>
      </c>
      <c r="F202" s="27"/>
      <c r="G202" s="169">
        <f>IF(ISBLANK(B202),"",VLOOKUP(B202,'Imputed Interest Rates'!A$2:H$99,8))</f>
      </c>
      <c r="H202" s="42"/>
      <c r="I202" s="95"/>
      <c r="J202" s="114" t="str">
        <f t="shared" si="38"/>
        <v> </v>
      </c>
      <c r="K202" s="115" t="str">
        <f t="shared" si="39"/>
        <v> </v>
      </c>
    </row>
    <row r="203" spans="1:11" ht="14.25">
      <c r="A203" s="96" t="s">
        <v>20</v>
      </c>
      <c r="B203" s="143"/>
      <c r="C203" s="97"/>
      <c r="D203" s="98"/>
      <c r="E203" s="25">
        <f>IF(ISNUMBER(E197),SUM(E197:E202),"")</f>
      </c>
      <c r="F203" s="29"/>
      <c r="G203" s="135">
        <f>IF(ISNUMBER(G197),ROUND(SUMPRODUCT(G197:G202,E197:E202)/E203,5),"")</f>
      </c>
      <c r="H203" s="43">
        <f>IF(ISNUMBER(H197),SUMPRODUCT(H197:H202,E197:E202)/E203,"")</f>
      </c>
      <c r="I203" s="119"/>
      <c r="J203" s="109" t="str">
        <f>IF(ISNUMBER(H203),PMT(($G203/12),($H203*12),-(E203))," ")</f>
        <v> </v>
      </c>
      <c r="K203" s="112" t="str">
        <f>IF(ISNUMBER($I203),IF($C203&lt;EffectiveDate-(365*2),0,PMT(($H203/12),($I203*12),-($G203*0.7)))," ")</f>
        <v> </v>
      </c>
    </row>
    <row r="204" spans="1:11" ht="14.25">
      <c r="A204" s="99" t="s">
        <v>21</v>
      </c>
      <c r="B204" s="144"/>
      <c r="C204" s="100"/>
      <c r="D204" s="100"/>
      <c r="E204" s="28">
        <f>IF(ISNUMBER(E203),$F$23+E203,"")</f>
      </c>
      <c r="F204" s="110">
        <f>IF(ISNUMBER(#REF!),G203+$F$23,"")</f>
      </c>
      <c r="G204" s="136">
        <f>IF(ISNUMBER(G203),ROUND((E203*G203+$F$23*$G$18)/($E204),5),"")</f>
      </c>
      <c r="H204" s="44">
        <f>IF(ISNUMBER(H203),ROUND((H203*E203+$F$23*$H$18)/$E204,0),"")</f>
      </c>
      <c r="I204" s="28"/>
      <c r="J204" s="111" t="str">
        <f>IF(ISNUMBER(H204),PMT(($G204/12),($H205*12),-(E204))," ")</f>
        <v> </v>
      </c>
      <c r="K204" s="113"/>
    </row>
    <row r="205" spans="1:11" ht="71.25" customHeight="1">
      <c r="A205" s="101"/>
      <c r="B205" s="145"/>
      <c r="C205" s="102"/>
      <c r="D205" s="103"/>
      <c r="E205" s="104"/>
      <c r="F205" s="183" t="s">
        <v>26</v>
      </c>
      <c r="G205" s="184"/>
      <c r="H205" s="161">
        <f>H204</f>
      </c>
      <c r="I205" s="105" t="s">
        <v>22</v>
      </c>
      <c r="J205" s="116">
        <f>IF(ISNUMBER(E195),J204/E195,"")</f>
      </c>
      <c r="K205" s="153" t="str">
        <f>_xlfn.CONCAT("If percent increase is more than 10%, increase amortization period in cell ",ADDRESS(ROW(),8,4)," until percent increase is not more than 10%")</f>
        <v>If percent increase is more than 10%, increase amortization period in cell H205 until percent increase is not more than 10%</v>
      </c>
    </row>
    <row r="206" spans="1:11" ht="15.75" customHeight="1">
      <c r="A206" s="117"/>
      <c r="B206" s="117"/>
      <c r="C206" s="81"/>
      <c r="D206" s="82"/>
      <c r="E206" s="83"/>
      <c r="F206" s="83"/>
      <c r="G206" s="84"/>
      <c r="H206" s="85"/>
      <c r="I206" s="86"/>
      <c r="J206" s="86"/>
      <c r="K206" s="86"/>
    </row>
    <row r="207" spans="1:11" ht="14.25">
      <c r="A207" s="87" t="s">
        <v>19</v>
      </c>
      <c r="B207" s="93"/>
      <c r="C207" s="88"/>
      <c r="D207" s="87" t="s">
        <v>6</v>
      </c>
      <c r="E207" s="89"/>
      <c r="F207" s="90"/>
      <c r="G207" s="91"/>
      <c r="H207" s="91"/>
      <c r="I207" s="92"/>
      <c r="J207" s="92"/>
      <c r="K207" s="93"/>
    </row>
    <row r="208" spans="1:11" ht="64.5">
      <c r="A208" s="128" t="s">
        <v>0</v>
      </c>
      <c r="B208" s="125" t="s">
        <v>28</v>
      </c>
      <c r="C208" s="133" t="s">
        <v>1</v>
      </c>
      <c r="D208" s="128" t="s">
        <v>30</v>
      </c>
      <c r="E208" s="125" t="s">
        <v>24</v>
      </c>
      <c r="F208" s="125"/>
      <c r="G208" s="128" t="s">
        <v>14</v>
      </c>
      <c r="H208" s="127" t="s">
        <v>16</v>
      </c>
      <c r="I208" s="128"/>
      <c r="J208" s="125" t="s">
        <v>15</v>
      </c>
      <c r="K208" s="129" t="s">
        <v>10</v>
      </c>
    </row>
    <row r="209" spans="1:11" ht="14.25">
      <c r="A209" s="32"/>
      <c r="B209" s="147"/>
      <c r="C209" s="13"/>
      <c r="D209" s="12"/>
      <c r="E209" s="25">
        <f aca="true" t="shared" si="40" ref="E209:E214">IF(ISBLANK(D209),"",IF(C209&lt;PetitionDate-(365*2),0,D209*0.7))</f>
      </c>
      <c r="F209" s="24"/>
      <c r="G209" s="169">
        <f>IF(ISBLANK(B209),"",VLOOKUP(B209,'Imputed Interest Rates'!A$2:$H$99,8))</f>
      </c>
      <c r="H209" s="11"/>
      <c r="I209" s="94"/>
      <c r="J209" s="109" t="str">
        <f aca="true" t="shared" si="41" ref="J209:J214">IF(ISNUMBER(H209),IF(C209&lt;EffectiveDate-(365*2),0,PMT(($G209/12),($H209*12),-(E209)))," ")</f>
        <v> </v>
      </c>
      <c r="K209" s="112" t="str">
        <f aca="true" t="shared" si="42" ref="K209:K214">IF(ISBLANK(C209)," ",IF(C209&lt;PetitionDate-(365*2),"Not timely","OK"))</f>
        <v> </v>
      </c>
    </row>
    <row r="210" spans="1:11" ht="14.25">
      <c r="A210" s="32"/>
      <c r="B210" s="155"/>
      <c r="C210" s="4"/>
      <c r="D210" s="8"/>
      <c r="E210" s="25">
        <f t="shared" si="40"/>
      </c>
      <c r="F210" s="24"/>
      <c r="G210" s="169">
        <f>IF(ISBLANK(B210),"",VLOOKUP(B210,'Imputed Interest Rates'!A$2:$H$99,8))</f>
      </c>
      <c r="H210" s="2"/>
      <c r="I210" s="94"/>
      <c r="J210" s="109" t="str">
        <f t="shared" si="41"/>
        <v> </v>
      </c>
      <c r="K210" s="113" t="str">
        <f t="shared" si="42"/>
        <v> </v>
      </c>
    </row>
    <row r="211" spans="1:11" ht="14.25">
      <c r="A211" s="32"/>
      <c r="B211" s="138"/>
      <c r="C211" s="4"/>
      <c r="D211" s="8"/>
      <c r="E211" s="25">
        <f t="shared" si="40"/>
      </c>
      <c r="F211" s="24"/>
      <c r="G211" s="169">
        <f>IF(ISBLANK(B211),"",VLOOKUP(B211,'Imputed Interest Rates'!A$2:$H$99,8))</f>
      </c>
      <c r="H211" s="2"/>
      <c r="I211" s="94"/>
      <c r="J211" s="109" t="str">
        <f t="shared" si="41"/>
        <v> </v>
      </c>
      <c r="K211" s="113" t="str">
        <f t="shared" si="42"/>
        <v> </v>
      </c>
    </row>
    <row r="212" spans="1:11" ht="14.25">
      <c r="A212" s="32"/>
      <c r="B212" s="138"/>
      <c r="C212" s="4"/>
      <c r="D212" s="8"/>
      <c r="E212" s="25">
        <f t="shared" si="40"/>
      </c>
      <c r="F212" s="24"/>
      <c r="G212" s="169">
        <f>IF(ISBLANK(B212),"",VLOOKUP(B212,'Imputed Interest Rates'!A$2:$H$99,8))</f>
      </c>
      <c r="H212" s="2"/>
      <c r="I212" s="94"/>
      <c r="J212" s="109" t="str">
        <f t="shared" si="41"/>
        <v> </v>
      </c>
      <c r="K212" s="113" t="str">
        <f t="shared" si="42"/>
        <v> </v>
      </c>
    </row>
    <row r="213" spans="1:11" ht="14.25">
      <c r="A213" s="32"/>
      <c r="B213" s="138"/>
      <c r="C213" s="4"/>
      <c r="D213" s="8"/>
      <c r="E213" s="25">
        <f t="shared" si="40"/>
      </c>
      <c r="F213" s="24"/>
      <c r="G213" s="169">
        <f>IF(ISBLANK(B213),"",VLOOKUP(B213,'Imputed Interest Rates'!A$2:$H$99,8))</f>
      </c>
      <c r="H213" s="2"/>
      <c r="I213" s="94"/>
      <c r="J213" s="109" t="str">
        <f t="shared" si="41"/>
        <v> </v>
      </c>
      <c r="K213" s="113" t="str">
        <f t="shared" si="42"/>
        <v> </v>
      </c>
    </row>
    <row r="214" spans="1:11" ht="14.25">
      <c r="A214" s="124"/>
      <c r="B214" s="142"/>
      <c r="C214" s="9"/>
      <c r="D214" s="10"/>
      <c r="E214" s="26">
        <f t="shared" si="40"/>
      </c>
      <c r="F214" s="27"/>
      <c r="G214" s="169">
        <f>IF(ISBLANK(B214),"",VLOOKUP(B214,'Imputed Interest Rates'!A$2:$H$99,8))</f>
      </c>
      <c r="H214" s="42"/>
      <c r="I214" s="95"/>
      <c r="J214" s="114" t="str">
        <f t="shared" si="41"/>
        <v> </v>
      </c>
      <c r="K214" s="115" t="str">
        <f t="shared" si="42"/>
        <v> </v>
      </c>
    </row>
    <row r="215" spans="1:11" ht="14.25">
      <c r="A215" s="96" t="s">
        <v>20</v>
      </c>
      <c r="B215" s="143"/>
      <c r="C215" s="97"/>
      <c r="D215" s="98"/>
      <c r="E215" s="25">
        <f>IF(ISNUMBER(E209),SUM(E209:E214),"")</f>
      </c>
      <c r="F215" s="29"/>
      <c r="G215" s="135">
        <f>IF(ISNUMBER(G209),ROUND(SUMPRODUCT(G209:G214,E209:E214)/E215,5),"")</f>
      </c>
      <c r="H215" s="43">
        <f>IF(ISNUMBER(H209),SUMPRODUCT(H209:H214,E209:E214)/E215,"")</f>
      </c>
      <c r="I215" s="119"/>
      <c r="J215" s="109" t="str">
        <f>IF(ISNUMBER(H215),PMT(($G215/12),($H215*12),-(E215))," ")</f>
        <v> </v>
      </c>
      <c r="K215" s="112" t="str">
        <f>IF(ISNUMBER($I215),IF($C215&lt;EffectiveDate-(365*2),0,PMT(($H215/12),($I215*12),-($G215*0.7)))," ")</f>
        <v> </v>
      </c>
    </row>
    <row r="216" spans="1:11" ht="14.25">
      <c r="A216" s="99" t="s">
        <v>21</v>
      </c>
      <c r="B216" s="144"/>
      <c r="C216" s="100"/>
      <c r="D216" s="100"/>
      <c r="E216" s="28">
        <f>IF(ISNUMBER(E215),$F$23+E215,"")</f>
      </c>
      <c r="F216" s="110">
        <f>IF(ISNUMBER(#REF!),G215+$F$23,"")</f>
      </c>
      <c r="G216" s="136">
        <f>IF(ISNUMBER(G215),ROUND((E215*G215+$F$23*$G$18)/($E216),5),"")</f>
      </c>
      <c r="H216" s="44">
        <f>IF(ISNUMBER(H215),ROUND((H215*E215+$F$23*$H$18)/$E216,0),"")</f>
      </c>
      <c r="I216" s="28"/>
      <c r="J216" s="111" t="str">
        <f>IF(ISNUMBER(H216),PMT(($G216/12),($H217*12),-(E216))," ")</f>
        <v> </v>
      </c>
      <c r="K216" s="113"/>
    </row>
    <row r="217" spans="1:11" ht="72">
      <c r="A217" s="101"/>
      <c r="B217" s="145"/>
      <c r="C217" s="102"/>
      <c r="D217" s="103"/>
      <c r="E217" s="104"/>
      <c r="F217" s="183" t="s">
        <v>26</v>
      </c>
      <c r="G217" s="184"/>
      <c r="H217" s="161">
        <f>H216</f>
      </c>
      <c r="I217" s="105" t="s">
        <v>22</v>
      </c>
      <c r="J217" s="116">
        <f>IF(ISNUMBER(E207),J216/E207,"")</f>
      </c>
      <c r="K217" s="153" t="str">
        <f>_xlfn.CONCAT("If percent increase is more than 10%, increase amortization period in cell ",ADDRESS(ROW(),8,4)," until percent increase is not more than 10%")</f>
        <v>If percent increase is more than 10%, increase amortization period in cell H217 until percent increase is not more than 10%</v>
      </c>
    </row>
    <row r="220" spans="1:11" ht="14.25">
      <c r="A220" s="45" t="s">
        <v>12</v>
      </c>
      <c r="B220" s="137"/>
      <c r="C220" s="75"/>
      <c r="D220" s="76"/>
      <c r="E220" s="77"/>
      <c r="F220" s="77"/>
      <c r="G220" s="78"/>
      <c r="H220" s="79"/>
      <c r="I220" s="80"/>
      <c r="J220" s="80"/>
      <c r="K220" s="80"/>
    </row>
    <row r="221" spans="1:11" ht="14.25">
      <c r="A221" s="87" t="s">
        <v>19</v>
      </c>
      <c r="B221" s="93"/>
      <c r="C221" s="88"/>
      <c r="D221" s="87" t="s">
        <v>6</v>
      </c>
      <c r="E221" s="89"/>
      <c r="F221" s="90"/>
      <c r="G221" s="91"/>
      <c r="H221" s="91"/>
      <c r="I221" s="92"/>
      <c r="J221" s="92"/>
      <c r="K221" s="93"/>
    </row>
    <row r="222" spans="1:11" ht="64.5">
      <c r="A222" s="128" t="s">
        <v>0</v>
      </c>
      <c r="B222" s="125" t="s">
        <v>28</v>
      </c>
      <c r="C222" s="133" t="s">
        <v>1</v>
      </c>
      <c r="D222" s="128" t="s">
        <v>30</v>
      </c>
      <c r="E222" s="125" t="s">
        <v>24</v>
      </c>
      <c r="F222" s="125"/>
      <c r="G222" s="128" t="s">
        <v>14</v>
      </c>
      <c r="H222" s="127" t="s">
        <v>16</v>
      </c>
      <c r="I222" s="128"/>
      <c r="J222" s="125" t="s">
        <v>15</v>
      </c>
      <c r="K222" s="129" t="s">
        <v>10</v>
      </c>
    </row>
    <row r="223" spans="1:11" ht="14.25">
      <c r="A223" s="32"/>
      <c r="B223" s="147"/>
      <c r="C223" s="13"/>
      <c r="D223" s="12"/>
      <c r="E223" s="25">
        <f aca="true" t="shared" si="43" ref="E223:E228">IF(ISBLANK(D223),"",IF(C223&lt;PetitionDate-(365*2),0,D223*0.7))</f>
      </c>
      <c r="F223" s="24"/>
      <c r="G223" s="169">
        <f>IF(ISBLANK(B223),"",VLOOKUP(B223,'Imputed Interest Rates'!A$2:H$99,8))</f>
      </c>
      <c r="H223" s="11"/>
      <c r="I223" s="94"/>
      <c r="J223" s="109" t="str">
        <f aca="true" t="shared" si="44" ref="J223:J228">IF(ISNUMBER(H223),IF(C223&lt;EffectiveDate-(365*2),0,PMT(($G223/12),($H223*12),-(E223)))," ")</f>
        <v> </v>
      </c>
      <c r="K223" s="112" t="str">
        <f aca="true" t="shared" si="45" ref="K223:K228">IF(ISBLANK(C223)," ",IF(C223&lt;PetitionDate-(365*2),"Not timely","OK"))</f>
        <v> </v>
      </c>
    </row>
    <row r="224" spans="1:11" ht="14.25">
      <c r="A224" s="32"/>
      <c r="B224" s="155"/>
      <c r="C224" s="4"/>
      <c r="D224" s="8"/>
      <c r="E224" s="25">
        <f t="shared" si="43"/>
      </c>
      <c r="F224" s="24"/>
      <c r="G224" s="169">
        <f>IF(ISBLANK(B224),"",VLOOKUP(B224,'Imputed Interest Rates'!A$2:H$99,8))</f>
      </c>
      <c r="H224" s="2"/>
      <c r="I224" s="94"/>
      <c r="J224" s="109" t="str">
        <f t="shared" si="44"/>
        <v> </v>
      </c>
      <c r="K224" s="113" t="str">
        <f t="shared" si="45"/>
        <v> </v>
      </c>
    </row>
    <row r="225" spans="1:11" ht="14.25">
      <c r="A225" s="32"/>
      <c r="B225" s="138"/>
      <c r="C225" s="4"/>
      <c r="D225" s="8"/>
      <c r="E225" s="25">
        <f t="shared" si="43"/>
      </c>
      <c r="F225" s="24"/>
      <c r="G225" s="169">
        <f>IF(ISBLANK(B225),"",VLOOKUP(B225,'Imputed Interest Rates'!A$2:H$99,8))</f>
      </c>
      <c r="H225" s="2"/>
      <c r="I225" s="94"/>
      <c r="J225" s="109" t="str">
        <f t="shared" si="44"/>
        <v> </v>
      </c>
      <c r="K225" s="113" t="str">
        <f t="shared" si="45"/>
        <v> </v>
      </c>
    </row>
    <row r="226" spans="1:11" ht="14.25">
      <c r="A226" s="32"/>
      <c r="B226" s="138"/>
      <c r="C226" s="4"/>
      <c r="D226" s="8"/>
      <c r="E226" s="25">
        <f t="shared" si="43"/>
      </c>
      <c r="F226" s="24"/>
      <c r="G226" s="169">
        <f>IF(ISBLANK(B226),"",VLOOKUP(B226,'Imputed Interest Rates'!A$2:H$99,8))</f>
      </c>
      <c r="H226" s="2"/>
      <c r="I226" s="94"/>
      <c r="J226" s="109" t="str">
        <f t="shared" si="44"/>
        <v> </v>
      </c>
      <c r="K226" s="113" t="str">
        <f t="shared" si="45"/>
        <v> </v>
      </c>
    </row>
    <row r="227" spans="1:11" ht="14.25">
      <c r="A227" s="32"/>
      <c r="B227" s="138"/>
      <c r="C227" s="4"/>
      <c r="D227" s="8"/>
      <c r="E227" s="25">
        <f t="shared" si="43"/>
      </c>
      <c r="F227" s="24"/>
      <c r="G227" s="169">
        <f>IF(ISBLANK(B227),"",VLOOKUP(B227,'Imputed Interest Rates'!A$2:H$99,8))</f>
      </c>
      <c r="H227" s="2"/>
      <c r="I227" s="94"/>
      <c r="J227" s="109" t="str">
        <f t="shared" si="44"/>
        <v> </v>
      </c>
      <c r="K227" s="113" t="str">
        <f t="shared" si="45"/>
        <v> </v>
      </c>
    </row>
    <row r="228" spans="1:11" ht="14.25">
      <c r="A228" s="124"/>
      <c r="B228" s="142"/>
      <c r="C228" s="9"/>
      <c r="D228" s="10"/>
      <c r="E228" s="26">
        <f t="shared" si="43"/>
      </c>
      <c r="F228" s="27"/>
      <c r="G228" s="169">
        <f>IF(ISBLANK(B228),"",VLOOKUP(B228,'Imputed Interest Rates'!A$2:H$99,8))</f>
      </c>
      <c r="H228" s="42"/>
      <c r="I228" s="95"/>
      <c r="J228" s="114" t="str">
        <f t="shared" si="44"/>
        <v> </v>
      </c>
      <c r="K228" s="115" t="str">
        <f t="shared" si="45"/>
        <v> </v>
      </c>
    </row>
    <row r="229" spans="1:11" ht="14.25">
      <c r="A229" s="96" t="s">
        <v>20</v>
      </c>
      <c r="B229" s="143"/>
      <c r="C229" s="97"/>
      <c r="D229" s="98"/>
      <c r="E229" s="25">
        <f>IF(ISNUMBER(E223),SUM(E223:E228),"")</f>
      </c>
      <c r="F229" s="29"/>
      <c r="G229" s="135">
        <f>IF(ISNUMBER(G223),ROUND(SUMPRODUCT(G223:G228,E223:E228)/E229,5),"")</f>
      </c>
      <c r="H229" s="43">
        <f>IF(ISNUMBER(H223),SUMPRODUCT(H223:H228,E223:E228)/E229,"")</f>
      </c>
      <c r="I229" s="119"/>
      <c r="J229" s="109" t="str">
        <f>IF(ISNUMBER(H229),PMT(($G229/12),($H229*12),-(E229))," ")</f>
        <v> </v>
      </c>
      <c r="K229" s="112" t="str">
        <f>IF(ISNUMBER($I229),IF($C229&lt;EffectiveDate-(365*2),0,PMT(($H229/12),($I229*12),-($G229*0.7)))," ")</f>
        <v> </v>
      </c>
    </row>
    <row r="230" spans="1:11" ht="14.25">
      <c r="A230" s="99" t="s">
        <v>21</v>
      </c>
      <c r="B230" s="144"/>
      <c r="C230" s="100"/>
      <c r="D230" s="100"/>
      <c r="E230" s="28">
        <f>IF(ISNUMBER(E229),$F$23+E229,"")</f>
      </c>
      <c r="F230" s="110">
        <f>IF(ISNUMBER(#REF!),G229+$F$23,"")</f>
      </c>
      <c r="G230" s="136">
        <f>IF(ISNUMBER(G229),ROUND((E229*G229+$F$23*$G$18)/($E230),5),"")</f>
      </c>
      <c r="H230" s="44">
        <f>IF(ISNUMBER(H229),ROUND((H229*E229+$F$23*$H$18)/$E230,0),"")</f>
      </c>
      <c r="I230" s="28"/>
      <c r="J230" s="111" t="str">
        <f>IF(ISNUMBER(H230),PMT(($G230/12),($H231*12),-(E230))," ")</f>
        <v> </v>
      </c>
      <c r="K230" s="113"/>
    </row>
    <row r="231" spans="1:11" ht="71.25" customHeight="1">
      <c r="A231" s="101"/>
      <c r="B231" s="145"/>
      <c r="C231" s="102"/>
      <c r="D231" s="103"/>
      <c r="E231" s="104"/>
      <c r="F231" s="183" t="s">
        <v>26</v>
      </c>
      <c r="G231" s="184"/>
      <c r="H231" s="161">
        <f>H230</f>
      </c>
      <c r="I231" s="105" t="s">
        <v>22</v>
      </c>
      <c r="J231" s="116">
        <f>IF(ISNUMBER(E221),J230/E221,"")</f>
      </c>
      <c r="K231" s="153" t="str">
        <f>_xlfn.CONCAT("If percent increase is more than 10%, increase amortization period in cell ",ADDRESS(ROW(),8,4)," until percent increase is not more than 10%")</f>
        <v>If percent increase is more than 10%, increase amortization period in cell H231 until percent increase is not more than 10%</v>
      </c>
    </row>
    <row r="232" spans="1:11" ht="15.75" customHeight="1">
      <c r="A232" s="117"/>
      <c r="B232" s="117"/>
      <c r="C232" s="81"/>
      <c r="D232" s="82"/>
      <c r="E232" s="83"/>
      <c r="F232" s="83"/>
      <c r="G232" s="84"/>
      <c r="H232" s="85"/>
      <c r="I232" s="86"/>
      <c r="J232" s="86"/>
      <c r="K232" s="86"/>
    </row>
    <row r="233" spans="1:11" ht="14.25">
      <c r="A233" s="87" t="s">
        <v>19</v>
      </c>
      <c r="B233" s="93"/>
      <c r="C233" s="88"/>
      <c r="D233" s="87" t="s">
        <v>6</v>
      </c>
      <c r="E233" s="89"/>
      <c r="F233" s="90"/>
      <c r="G233" s="91"/>
      <c r="H233" s="91"/>
      <c r="I233" s="92"/>
      <c r="J233" s="92"/>
      <c r="K233" s="93"/>
    </row>
    <row r="234" spans="1:11" ht="64.5">
      <c r="A234" s="128" t="s">
        <v>0</v>
      </c>
      <c r="B234" s="125" t="s">
        <v>28</v>
      </c>
      <c r="C234" s="133" t="s">
        <v>1</v>
      </c>
      <c r="D234" s="128" t="s">
        <v>30</v>
      </c>
      <c r="E234" s="125" t="s">
        <v>24</v>
      </c>
      <c r="F234" s="125"/>
      <c r="G234" s="128" t="s">
        <v>14</v>
      </c>
      <c r="H234" s="127" t="s">
        <v>16</v>
      </c>
      <c r="I234" s="128"/>
      <c r="J234" s="125" t="s">
        <v>15</v>
      </c>
      <c r="K234" s="129" t="s">
        <v>10</v>
      </c>
    </row>
    <row r="235" spans="1:11" ht="14.25">
      <c r="A235" s="32"/>
      <c r="B235" s="147"/>
      <c r="C235" s="13"/>
      <c r="D235" s="12"/>
      <c r="E235" s="25">
        <f aca="true" t="shared" si="46" ref="E235:E240">IF(ISBLANK(D235),"",IF(C235&lt;PetitionDate-(365*2),0,D235*0.7))</f>
      </c>
      <c r="F235" s="24"/>
      <c r="G235" s="169">
        <f>IF(ISBLANK(B235),"",VLOOKUP(B235,'Imputed Interest Rates'!A$2:H$99,8))</f>
      </c>
      <c r="H235" s="11"/>
      <c r="I235" s="94"/>
      <c r="J235" s="109" t="str">
        <f aca="true" t="shared" si="47" ref="J235:J240">IF(ISNUMBER(H235),IF(C235&lt;EffectiveDate-(365*2),0,PMT(($G235/12),($H235*12),-(E235)))," ")</f>
        <v> </v>
      </c>
      <c r="K235" s="112" t="str">
        <f aca="true" t="shared" si="48" ref="K235:K240">IF(ISBLANK(C235)," ",IF(C235&lt;PetitionDate-(365*2),"Not timely","OK"))</f>
        <v> </v>
      </c>
    </row>
    <row r="236" spans="1:11" ht="14.25">
      <c r="A236" s="32"/>
      <c r="B236" s="155"/>
      <c r="C236" s="4"/>
      <c r="D236" s="8"/>
      <c r="E236" s="25">
        <f t="shared" si="46"/>
      </c>
      <c r="F236" s="24"/>
      <c r="G236" s="169">
        <f>IF(ISBLANK(B236),"",VLOOKUP(B236,'Imputed Interest Rates'!A$2:H$99,8))</f>
      </c>
      <c r="H236" s="2"/>
      <c r="I236" s="94"/>
      <c r="J236" s="109" t="str">
        <f t="shared" si="47"/>
        <v> </v>
      </c>
      <c r="K236" s="113" t="str">
        <f t="shared" si="48"/>
        <v> </v>
      </c>
    </row>
    <row r="237" spans="1:11" ht="14.25">
      <c r="A237" s="32"/>
      <c r="B237" s="138"/>
      <c r="C237" s="4"/>
      <c r="D237" s="8"/>
      <c r="E237" s="25">
        <f t="shared" si="46"/>
      </c>
      <c r="F237" s="24"/>
      <c r="G237" s="169">
        <f>IF(ISBLANK(B237),"",VLOOKUP(B237,'Imputed Interest Rates'!A$2:H$99,8))</f>
      </c>
      <c r="H237" s="2"/>
      <c r="I237" s="94"/>
      <c r="J237" s="109" t="str">
        <f t="shared" si="47"/>
        <v> </v>
      </c>
      <c r="K237" s="113" t="str">
        <f t="shared" si="48"/>
        <v> </v>
      </c>
    </row>
    <row r="238" spans="1:11" ht="14.25">
      <c r="A238" s="32"/>
      <c r="B238" s="138"/>
      <c r="C238" s="4"/>
      <c r="D238" s="8"/>
      <c r="E238" s="25">
        <f t="shared" si="46"/>
      </c>
      <c r="F238" s="24"/>
      <c r="G238" s="169">
        <f>IF(ISBLANK(B238),"",VLOOKUP(B238,'Imputed Interest Rates'!A$2:H$99,8))</f>
      </c>
      <c r="H238" s="2"/>
      <c r="I238" s="94"/>
      <c r="J238" s="109" t="str">
        <f t="shared" si="47"/>
        <v> </v>
      </c>
      <c r="K238" s="113" t="str">
        <f t="shared" si="48"/>
        <v> </v>
      </c>
    </row>
    <row r="239" spans="1:11" ht="14.25">
      <c r="A239" s="32"/>
      <c r="B239" s="138"/>
      <c r="C239" s="4"/>
      <c r="D239" s="8"/>
      <c r="E239" s="25">
        <f t="shared" si="46"/>
      </c>
      <c r="F239" s="24"/>
      <c r="G239" s="169">
        <f>IF(ISBLANK(B239),"",VLOOKUP(B239,'Imputed Interest Rates'!A$2:H$99,8))</f>
      </c>
      <c r="H239" s="2"/>
      <c r="I239" s="94"/>
      <c r="J239" s="109" t="str">
        <f t="shared" si="47"/>
        <v> </v>
      </c>
      <c r="K239" s="113" t="str">
        <f t="shared" si="48"/>
        <v> </v>
      </c>
    </row>
    <row r="240" spans="1:11" ht="14.25">
      <c r="A240" s="124"/>
      <c r="B240" s="142"/>
      <c r="C240" s="9"/>
      <c r="D240" s="10"/>
      <c r="E240" s="26">
        <f t="shared" si="46"/>
      </c>
      <c r="F240" s="27"/>
      <c r="G240" s="169">
        <f>IF(ISBLANK(B240),"",VLOOKUP(B240,'Imputed Interest Rates'!A$2:H$99,8))</f>
      </c>
      <c r="H240" s="42"/>
      <c r="I240" s="95"/>
      <c r="J240" s="114" t="str">
        <f t="shared" si="47"/>
        <v> </v>
      </c>
      <c r="K240" s="115" t="str">
        <f t="shared" si="48"/>
        <v> </v>
      </c>
    </row>
    <row r="241" spans="1:11" ht="14.25">
      <c r="A241" s="96" t="s">
        <v>20</v>
      </c>
      <c r="B241" s="143"/>
      <c r="C241" s="97"/>
      <c r="D241" s="98"/>
      <c r="E241" s="25">
        <f>IF(ISNUMBER(E235),SUM(E235:E240),"")</f>
      </c>
      <c r="F241" s="29"/>
      <c r="G241" s="135">
        <f>IF(ISNUMBER(G235),ROUND(SUMPRODUCT(G235:G240,E235:E240)/E241,5),"")</f>
      </c>
      <c r="H241" s="43">
        <f>IF(ISNUMBER(H235),SUMPRODUCT(H235:H240,E235:E240)/E241,"")</f>
      </c>
      <c r="I241" s="119"/>
      <c r="J241" s="109" t="str">
        <f>IF(ISNUMBER(H241),PMT(($G241/12),($H241*12),-(E241))," ")</f>
        <v> </v>
      </c>
      <c r="K241" s="112" t="str">
        <f>IF(ISNUMBER($I241),IF($C241&lt;EffectiveDate-(365*2),0,PMT(($H241/12),($I241*12),-($G241*0.7)))," ")</f>
        <v> </v>
      </c>
    </row>
    <row r="242" spans="1:11" ht="14.25">
      <c r="A242" s="99" t="s">
        <v>21</v>
      </c>
      <c r="B242" s="144"/>
      <c r="C242" s="100"/>
      <c r="D242" s="100"/>
      <c r="E242" s="28">
        <f>IF(ISNUMBER(E241),$F$23+E241,"")</f>
      </c>
      <c r="F242" s="110">
        <f>IF(ISNUMBER(#REF!),G241+$F$23,"")</f>
      </c>
      <c r="G242" s="136">
        <f>IF(ISNUMBER(G241),ROUND((E241*G241+$F$23*$G$18)/($E242),5),"")</f>
      </c>
      <c r="H242" s="44">
        <f>IF(ISNUMBER(H241),ROUND((H241*E241+$F$23*$H$18)/$E242,0),"")</f>
      </c>
      <c r="I242" s="28"/>
      <c r="J242" s="111" t="str">
        <f>IF(ISNUMBER(H242),PMT(($G242/12),($H243*12),-(E242))," ")</f>
        <v> </v>
      </c>
      <c r="K242" s="113"/>
    </row>
    <row r="243" spans="1:11" ht="72">
      <c r="A243" s="101"/>
      <c r="B243" s="145"/>
      <c r="C243" s="102"/>
      <c r="D243" s="103"/>
      <c r="E243" s="104"/>
      <c r="F243" s="183" t="s">
        <v>26</v>
      </c>
      <c r="G243" s="184"/>
      <c r="H243" s="161">
        <f>H242</f>
      </c>
      <c r="I243" s="105" t="s">
        <v>22</v>
      </c>
      <c r="J243" s="116">
        <f>IF(ISNUMBER(E233),J242/E233,"")</f>
      </c>
      <c r="K243" s="153" t="str">
        <f>_xlfn.CONCAT("If percent increase is more than 10%, increase amortization period in cell ",ADDRESS(ROW(),8,4)," until percent increase is not more than 10%")</f>
        <v>If percent increase is more than 10%, increase amortization period in cell H243 until percent increase is not more than 10%</v>
      </c>
    </row>
    <row r="246" spans="1:11" ht="14.25">
      <c r="A246" s="45" t="s">
        <v>12</v>
      </c>
      <c r="B246" s="137"/>
      <c r="C246" s="75"/>
      <c r="D246" s="76"/>
      <c r="E246" s="77"/>
      <c r="F246" s="77"/>
      <c r="G246" s="78"/>
      <c r="H246" s="79"/>
      <c r="I246" s="80"/>
      <c r="J246" s="80"/>
      <c r="K246" s="80"/>
    </row>
    <row r="247" spans="1:11" ht="14.25">
      <c r="A247" s="87" t="s">
        <v>19</v>
      </c>
      <c r="B247" s="93"/>
      <c r="C247" s="88"/>
      <c r="D247" s="87" t="s">
        <v>6</v>
      </c>
      <c r="E247" s="89"/>
      <c r="F247" s="90"/>
      <c r="G247" s="91"/>
      <c r="H247" s="91"/>
      <c r="I247" s="92"/>
      <c r="J247" s="92"/>
      <c r="K247" s="93"/>
    </row>
    <row r="248" spans="1:11" ht="64.5">
      <c r="A248" s="128" t="s">
        <v>0</v>
      </c>
      <c r="B248" s="125" t="s">
        <v>28</v>
      </c>
      <c r="C248" s="133" t="s">
        <v>1</v>
      </c>
      <c r="D248" s="128" t="s">
        <v>30</v>
      </c>
      <c r="E248" s="125" t="s">
        <v>24</v>
      </c>
      <c r="F248" s="125"/>
      <c r="G248" s="128" t="s">
        <v>14</v>
      </c>
      <c r="H248" s="127" t="s">
        <v>16</v>
      </c>
      <c r="I248" s="128"/>
      <c r="J248" s="125" t="s">
        <v>15</v>
      </c>
      <c r="K248" s="129" t="s">
        <v>10</v>
      </c>
    </row>
    <row r="249" spans="1:11" ht="14.25">
      <c r="A249" s="32"/>
      <c r="B249" s="147"/>
      <c r="C249" s="13"/>
      <c r="D249" s="12"/>
      <c r="E249" s="25">
        <f aca="true" t="shared" si="49" ref="E249:E254">IF(ISBLANK(D249),"",IF(C249&lt;PetitionDate-(365*2),0,D249*0.7))</f>
      </c>
      <c r="F249" s="24"/>
      <c r="G249" s="169">
        <f>IF(ISBLANK(B249),"",VLOOKUP(B249,'Imputed Interest Rates'!A$2:H$99,8))</f>
      </c>
      <c r="H249" s="11"/>
      <c r="I249" s="94"/>
      <c r="J249" s="109" t="str">
        <f aca="true" t="shared" si="50" ref="J249:J254">IF(ISNUMBER(H249),IF(C249&lt;EffectiveDate-(365*2),0,PMT(($G249/12),($H249*12),-(E249)))," ")</f>
        <v> </v>
      </c>
      <c r="K249" s="112" t="str">
        <f aca="true" t="shared" si="51" ref="K249:K254">IF(ISBLANK(C249)," ",IF(C249&lt;PetitionDate-(365*2),"Not timely","OK"))</f>
        <v> </v>
      </c>
    </row>
    <row r="250" spans="1:11" ht="14.25">
      <c r="A250" s="32"/>
      <c r="B250" s="155"/>
      <c r="C250" s="4"/>
      <c r="D250" s="8"/>
      <c r="E250" s="25">
        <f t="shared" si="49"/>
      </c>
      <c r="F250" s="24"/>
      <c r="G250" s="169">
        <f>IF(ISBLANK(B250),"",VLOOKUP(B250,'Imputed Interest Rates'!A$2:H$99,8))</f>
      </c>
      <c r="H250" s="2"/>
      <c r="I250" s="94"/>
      <c r="J250" s="109" t="str">
        <f t="shared" si="50"/>
        <v> </v>
      </c>
      <c r="K250" s="113" t="str">
        <f t="shared" si="51"/>
        <v> </v>
      </c>
    </row>
    <row r="251" spans="1:11" ht="14.25">
      <c r="A251" s="32"/>
      <c r="B251" s="138"/>
      <c r="C251" s="4"/>
      <c r="D251" s="8"/>
      <c r="E251" s="25">
        <f t="shared" si="49"/>
      </c>
      <c r="F251" s="24"/>
      <c r="G251" s="169">
        <f>IF(ISBLANK(B251),"",VLOOKUP(B251,'Imputed Interest Rates'!A$2:H$99,8))</f>
      </c>
      <c r="H251" s="2"/>
      <c r="I251" s="94"/>
      <c r="J251" s="109" t="str">
        <f t="shared" si="50"/>
        <v> </v>
      </c>
      <c r="K251" s="113" t="str">
        <f t="shared" si="51"/>
        <v> </v>
      </c>
    </row>
    <row r="252" spans="1:11" ht="14.25">
      <c r="A252" s="32"/>
      <c r="B252" s="138"/>
      <c r="C252" s="4"/>
      <c r="D252" s="8"/>
      <c r="E252" s="25">
        <f t="shared" si="49"/>
      </c>
      <c r="F252" s="24"/>
      <c r="G252" s="169">
        <f>IF(ISBLANK(B252),"",VLOOKUP(B252,'Imputed Interest Rates'!A$2:H$99,8))</f>
      </c>
      <c r="H252" s="2"/>
      <c r="I252" s="94"/>
      <c r="J252" s="109" t="str">
        <f t="shared" si="50"/>
        <v> </v>
      </c>
      <c r="K252" s="113" t="str">
        <f t="shared" si="51"/>
        <v> </v>
      </c>
    </row>
    <row r="253" spans="1:11" ht="14.25">
      <c r="A253" s="32"/>
      <c r="B253" s="138"/>
      <c r="C253" s="4"/>
      <c r="D253" s="8"/>
      <c r="E253" s="25">
        <f t="shared" si="49"/>
      </c>
      <c r="F253" s="24"/>
      <c r="G253" s="169">
        <f>IF(ISBLANK(B253),"",VLOOKUP(B253,'Imputed Interest Rates'!A$2:H$99,8))</f>
      </c>
      <c r="H253" s="2"/>
      <c r="I253" s="94"/>
      <c r="J253" s="109" t="str">
        <f t="shared" si="50"/>
        <v> </v>
      </c>
      <c r="K253" s="113" t="str">
        <f t="shared" si="51"/>
        <v> </v>
      </c>
    </row>
    <row r="254" spans="1:11" ht="14.25">
      <c r="A254" s="124"/>
      <c r="B254" s="142"/>
      <c r="C254" s="9"/>
      <c r="D254" s="10"/>
      <c r="E254" s="26">
        <f t="shared" si="49"/>
      </c>
      <c r="F254" s="27"/>
      <c r="G254" s="169">
        <f>IF(ISBLANK(B254),"",VLOOKUP(B254,'Imputed Interest Rates'!A$2:H$99,8))</f>
      </c>
      <c r="H254" s="42"/>
      <c r="I254" s="95"/>
      <c r="J254" s="114" t="str">
        <f t="shared" si="50"/>
        <v> </v>
      </c>
      <c r="K254" s="115" t="str">
        <f t="shared" si="51"/>
        <v> </v>
      </c>
    </row>
    <row r="255" spans="1:11" ht="14.25">
      <c r="A255" s="96" t="s">
        <v>20</v>
      </c>
      <c r="B255" s="143"/>
      <c r="C255" s="97"/>
      <c r="D255" s="98"/>
      <c r="E255" s="25">
        <f>IF(ISNUMBER(E249),SUM(E249:E254),"")</f>
      </c>
      <c r="F255" s="29"/>
      <c r="G255" s="135">
        <f>IF(ISNUMBER(G249),ROUND(SUMPRODUCT(G249:G254,E249:E254)/E255,5),"")</f>
      </c>
      <c r="H255" s="43">
        <f>IF(ISNUMBER(H249),SUMPRODUCT(H249:H254,E249:E254)/E255,"")</f>
      </c>
      <c r="I255" s="119"/>
      <c r="J255" s="109" t="str">
        <f>IF(ISNUMBER(H255),PMT(($G255/12),($H255*12),-(E255))," ")</f>
        <v> </v>
      </c>
      <c r="K255" s="112" t="str">
        <f>IF(ISNUMBER($I255),IF($C255&lt;EffectiveDate-(365*2),0,PMT(($H255/12),($I255*12),-($G255*0.7)))," ")</f>
        <v> </v>
      </c>
    </row>
    <row r="256" spans="1:11" ht="14.25">
      <c r="A256" s="99" t="s">
        <v>21</v>
      </c>
      <c r="B256" s="144"/>
      <c r="C256" s="100"/>
      <c r="D256" s="100"/>
      <c r="E256" s="28">
        <f>IF(ISNUMBER(E255),$F$23+E255,"")</f>
      </c>
      <c r="F256" s="110">
        <f>IF(ISNUMBER(#REF!),G255+$F$23,"")</f>
      </c>
      <c r="G256" s="136">
        <f>IF(ISNUMBER(G255),ROUND((E255*G255+$F$23*$G$18)/($E256),5),"")</f>
      </c>
      <c r="H256" s="44">
        <f>IF(ISNUMBER(H255),ROUND((H255*E255+$F$23*$H$18)/$E256,0),"")</f>
      </c>
      <c r="I256" s="28"/>
      <c r="J256" s="111" t="str">
        <f>IF(ISNUMBER(H256),PMT(($G256/12),($H257*12),-(E256))," ")</f>
        <v> </v>
      </c>
      <c r="K256" s="113"/>
    </row>
    <row r="257" spans="1:11" ht="71.25" customHeight="1">
      <c r="A257" s="101"/>
      <c r="B257" s="145"/>
      <c r="C257" s="102"/>
      <c r="D257" s="103"/>
      <c r="E257" s="104"/>
      <c r="F257" s="183" t="s">
        <v>26</v>
      </c>
      <c r="G257" s="184"/>
      <c r="H257" s="161">
        <f>H256</f>
      </c>
      <c r="I257" s="105" t="s">
        <v>22</v>
      </c>
      <c r="J257" s="116">
        <f>IF(ISNUMBER(E247),J256/E247,"")</f>
      </c>
      <c r="K257" s="153" t="str">
        <f>_xlfn.CONCAT("If percent increase is more than 10%, increase amortization period in cell ",ADDRESS(ROW(),8,4)," until percent increase is not more than 10%")</f>
        <v>If percent increase is more than 10%, increase amortization period in cell H257 until percent increase is not more than 10%</v>
      </c>
    </row>
    <row r="258" spans="1:11" ht="15.75" customHeight="1">
      <c r="A258" s="117"/>
      <c r="B258" s="117"/>
      <c r="C258" s="81"/>
      <c r="D258" s="82"/>
      <c r="E258" s="83"/>
      <c r="F258" s="83"/>
      <c r="G258" s="84"/>
      <c r="H258" s="85"/>
      <c r="I258" s="86"/>
      <c r="J258" s="86"/>
      <c r="K258" s="86"/>
    </row>
    <row r="259" spans="1:11" ht="14.25">
      <c r="A259" s="87" t="s">
        <v>19</v>
      </c>
      <c r="B259" s="93"/>
      <c r="C259" s="88"/>
      <c r="D259" s="87" t="s">
        <v>6</v>
      </c>
      <c r="E259" s="89"/>
      <c r="F259" s="90"/>
      <c r="G259" s="91"/>
      <c r="H259" s="91"/>
      <c r="I259" s="92"/>
      <c r="J259" s="92"/>
      <c r="K259" s="93"/>
    </row>
    <row r="260" spans="1:11" ht="64.5">
      <c r="A260" s="128" t="s">
        <v>0</v>
      </c>
      <c r="B260" s="125" t="s">
        <v>28</v>
      </c>
      <c r="C260" s="133" t="s">
        <v>1</v>
      </c>
      <c r="D260" s="128" t="s">
        <v>30</v>
      </c>
      <c r="E260" s="125" t="s">
        <v>24</v>
      </c>
      <c r="F260" s="125"/>
      <c r="G260" s="128" t="s">
        <v>14</v>
      </c>
      <c r="H260" s="127" t="s">
        <v>16</v>
      </c>
      <c r="I260" s="128"/>
      <c r="J260" s="125" t="s">
        <v>15</v>
      </c>
      <c r="K260" s="129" t="s">
        <v>10</v>
      </c>
    </row>
    <row r="261" spans="1:11" ht="14.25">
      <c r="A261" s="32"/>
      <c r="B261" s="147"/>
      <c r="C261" s="13"/>
      <c r="D261" s="12"/>
      <c r="E261" s="25">
        <f aca="true" t="shared" si="52" ref="E261:E266">IF(ISBLANK(D261),"",IF(C261&lt;PetitionDate-(365*2),0,D261*0.7))</f>
      </c>
      <c r="F261" s="24"/>
      <c r="G261" s="169">
        <f>IF(ISBLANK(B261),"",VLOOKUP(B261,'Imputed Interest Rates'!A$2:H$99,8))</f>
      </c>
      <c r="H261" s="11"/>
      <c r="I261" s="94"/>
      <c r="J261" s="109" t="str">
        <f aca="true" t="shared" si="53" ref="J261:J266">IF(ISNUMBER(H261),IF(C261&lt;EffectiveDate-(365*2),0,PMT(($G261/12),($H261*12),-(E261)))," ")</f>
        <v> </v>
      </c>
      <c r="K261" s="112" t="str">
        <f aca="true" t="shared" si="54" ref="K261:K266">IF(ISBLANK(C261)," ",IF(C261&lt;PetitionDate-(365*2),"Not timely","OK"))</f>
        <v> </v>
      </c>
    </row>
    <row r="262" spans="1:11" ht="14.25">
      <c r="A262" s="32"/>
      <c r="B262" s="155"/>
      <c r="C262" s="4"/>
      <c r="D262" s="8"/>
      <c r="E262" s="25">
        <f t="shared" si="52"/>
      </c>
      <c r="F262" s="24"/>
      <c r="G262" s="169">
        <f>IF(ISBLANK(B262),"",VLOOKUP(B262,'Imputed Interest Rates'!A$2:H$99,8))</f>
      </c>
      <c r="H262" s="2"/>
      <c r="I262" s="94"/>
      <c r="J262" s="109" t="str">
        <f t="shared" si="53"/>
        <v> </v>
      </c>
      <c r="K262" s="113" t="str">
        <f t="shared" si="54"/>
        <v> </v>
      </c>
    </row>
    <row r="263" spans="1:11" ht="14.25">
      <c r="A263" s="32"/>
      <c r="B263" s="138"/>
      <c r="C263" s="4"/>
      <c r="D263" s="8"/>
      <c r="E263" s="25">
        <f t="shared" si="52"/>
      </c>
      <c r="F263" s="24"/>
      <c r="G263" s="169">
        <f>IF(ISBLANK(B263),"",VLOOKUP(B263,'Imputed Interest Rates'!A$2:H$99,8))</f>
      </c>
      <c r="H263" s="2"/>
      <c r="I263" s="94"/>
      <c r="J263" s="109" t="str">
        <f t="shared" si="53"/>
        <v> </v>
      </c>
      <c r="K263" s="113" t="str">
        <f t="shared" si="54"/>
        <v> </v>
      </c>
    </row>
    <row r="264" spans="1:11" ht="14.25">
      <c r="A264" s="32"/>
      <c r="B264" s="138"/>
      <c r="C264" s="4"/>
      <c r="D264" s="8"/>
      <c r="E264" s="25">
        <f t="shared" si="52"/>
      </c>
      <c r="F264" s="24"/>
      <c r="G264" s="169">
        <f>IF(ISBLANK(B264),"",VLOOKUP(B264,'Imputed Interest Rates'!A$2:H$99,8))</f>
      </c>
      <c r="H264" s="2"/>
      <c r="I264" s="94"/>
      <c r="J264" s="109" t="str">
        <f t="shared" si="53"/>
        <v> </v>
      </c>
      <c r="K264" s="113" t="str">
        <f t="shared" si="54"/>
        <v> </v>
      </c>
    </row>
    <row r="265" spans="1:11" ht="14.25">
      <c r="A265" s="32"/>
      <c r="B265" s="138"/>
      <c r="C265" s="4"/>
      <c r="D265" s="8"/>
      <c r="E265" s="25">
        <f t="shared" si="52"/>
      </c>
      <c r="F265" s="24"/>
      <c r="G265" s="169">
        <f>IF(ISBLANK(B265),"",VLOOKUP(B265,'Imputed Interest Rates'!A$2:H$99,8))</f>
      </c>
      <c r="H265" s="2"/>
      <c r="I265" s="94"/>
      <c r="J265" s="109" t="str">
        <f t="shared" si="53"/>
        <v> </v>
      </c>
      <c r="K265" s="113" t="str">
        <f t="shared" si="54"/>
        <v> </v>
      </c>
    </row>
    <row r="266" spans="1:11" ht="14.25">
      <c r="A266" s="124"/>
      <c r="B266" s="142"/>
      <c r="C266" s="9"/>
      <c r="D266" s="10"/>
      <c r="E266" s="26">
        <f t="shared" si="52"/>
      </c>
      <c r="F266" s="27"/>
      <c r="G266" s="169">
        <f>IF(ISBLANK(B266),"",VLOOKUP(B266,'Imputed Interest Rates'!A$2:H$99,8))</f>
      </c>
      <c r="H266" s="42"/>
      <c r="I266" s="95"/>
      <c r="J266" s="114" t="str">
        <f t="shared" si="53"/>
        <v> </v>
      </c>
      <c r="K266" s="115" t="str">
        <f t="shared" si="54"/>
        <v> </v>
      </c>
    </row>
    <row r="267" spans="1:11" ht="14.25">
      <c r="A267" s="96" t="s">
        <v>20</v>
      </c>
      <c r="B267" s="143"/>
      <c r="C267" s="97"/>
      <c r="D267" s="98"/>
      <c r="E267" s="25">
        <f>IF(ISNUMBER(E261),SUM(E261:E266),"")</f>
      </c>
      <c r="F267" s="29"/>
      <c r="G267" s="135">
        <f>IF(ISNUMBER(G261),ROUND(SUMPRODUCT(G261:G266,E261:E266)/E267,5),"")</f>
      </c>
      <c r="H267" s="43">
        <f>IF(ISNUMBER(H261),SUMPRODUCT(H261:H266,E261:E266)/E267,"")</f>
      </c>
      <c r="I267" s="119"/>
      <c r="J267" s="109" t="str">
        <f>IF(ISNUMBER(H267),PMT(($G267/12),($H267*12),-(E267))," ")</f>
        <v> </v>
      </c>
      <c r="K267" s="112" t="str">
        <f>IF(ISNUMBER($I267),IF($C267&lt;EffectiveDate-(365*2),0,PMT(($H267/12),($I267*12),-($G267*0.7)))," ")</f>
        <v> </v>
      </c>
    </row>
    <row r="268" spans="1:11" ht="14.25">
      <c r="A268" s="99" t="s">
        <v>21</v>
      </c>
      <c r="B268" s="144"/>
      <c r="C268" s="100"/>
      <c r="D268" s="100"/>
      <c r="E268" s="28">
        <f>IF(ISNUMBER(E267),$F$23+E267,"")</f>
      </c>
      <c r="F268" s="110">
        <f>IF(ISNUMBER(#REF!),G267+$F$23,"")</f>
      </c>
      <c r="G268" s="136">
        <f>IF(ISNUMBER(G267),ROUND((E267*G267+$F$23*$G$18)/($E268),5),"")</f>
      </c>
      <c r="H268" s="44">
        <f>IF(ISNUMBER(H267),ROUND((H267*E267+$F$23*$H$18)/$E268,0),"")</f>
      </c>
      <c r="I268" s="28"/>
      <c r="J268" s="111" t="str">
        <f>IF(ISNUMBER(H268),PMT(($G268/12),($H269*12),-(E268))," ")</f>
        <v> </v>
      </c>
      <c r="K268" s="113"/>
    </row>
    <row r="269" spans="1:11" ht="72">
      <c r="A269" s="101"/>
      <c r="B269" s="145"/>
      <c r="C269" s="102"/>
      <c r="D269" s="103"/>
      <c r="E269" s="104"/>
      <c r="F269" s="183" t="s">
        <v>26</v>
      </c>
      <c r="G269" s="184"/>
      <c r="H269" s="161">
        <f>H268</f>
      </c>
      <c r="I269" s="105" t="s">
        <v>22</v>
      </c>
      <c r="J269" s="116">
        <f>IF(ISNUMBER(E259),J268/E259,"")</f>
      </c>
      <c r="K269" s="153" t="str">
        <f>_xlfn.CONCAT("If percent increase is more than 10%, increase amortization period in cell ",ADDRESS(ROW(),8,4)," until percent increase is not more than 10%")</f>
        <v>If percent increase is more than 10%, increase amortization period in cell H269 until percent increase is not more than 10%</v>
      </c>
    </row>
    <row r="272" spans="1:11" ht="14.25">
      <c r="A272" s="45" t="s">
        <v>12</v>
      </c>
      <c r="B272" s="137"/>
      <c r="C272" s="75"/>
      <c r="D272" s="76"/>
      <c r="E272" s="77"/>
      <c r="F272" s="77"/>
      <c r="G272" s="78"/>
      <c r="H272" s="79"/>
      <c r="I272" s="80"/>
      <c r="J272" s="80"/>
      <c r="K272" s="80"/>
    </row>
    <row r="273" spans="1:11" ht="14.25">
      <c r="A273" s="87" t="s">
        <v>19</v>
      </c>
      <c r="B273" s="93"/>
      <c r="C273" s="88"/>
      <c r="D273" s="87" t="s">
        <v>6</v>
      </c>
      <c r="E273" s="89"/>
      <c r="F273" s="90"/>
      <c r="G273" s="91"/>
      <c r="H273" s="91"/>
      <c r="I273" s="92"/>
      <c r="J273" s="92"/>
      <c r="K273" s="93"/>
    </row>
    <row r="274" spans="1:11" ht="64.5">
      <c r="A274" s="128" t="s">
        <v>0</v>
      </c>
      <c r="B274" s="125" t="s">
        <v>28</v>
      </c>
      <c r="C274" s="133" t="s">
        <v>1</v>
      </c>
      <c r="D274" s="128" t="s">
        <v>30</v>
      </c>
      <c r="E274" s="125" t="s">
        <v>24</v>
      </c>
      <c r="F274" s="125"/>
      <c r="G274" s="128" t="s">
        <v>14</v>
      </c>
      <c r="H274" s="127" t="s">
        <v>16</v>
      </c>
      <c r="I274" s="128"/>
      <c r="J274" s="125" t="s">
        <v>15</v>
      </c>
      <c r="K274" s="129" t="s">
        <v>10</v>
      </c>
    </row>
    <row r="275" spans="1:11" ht="14.25">
      <c r="A275" s="32"/>
      <c r="B275" s="147"/>
      <c r="C275" s="13"/>
      <c r="D275" s="12"/>
      <c r="E275" s="25">
        <f aca="true" t="shared" si="55" ref="E275:E280">IF(ISBLANK(D275),"",IF(C275&lt;PetitionDate-(365*2),0,D275*0.7))</f>
      </c>
      <c r="F275" s="24"/>
      <c r="G275" s="169">
        <f>IF(ISBLANK(B275),"",VLOOKUP(B275,'Imputed Interest Rates'!A$2:H$99,8))</f>
      </c>
      <c r="H275" s="11"/>
      <c r="I275" s="94"/>
      <c r="J275" s="109" t="str">
        <f aca="true" t="shared" si="56" ref="J275:J280">IF(ISNUMBER(H275),IF(C275&lt;EffectiveDate-(365*2),0,PMT(($G275/12),($H275*12),-(E275)))," ")</f>
        <v> </v>
      </c>
      <c r="K275" s="112" t="str">
        <f aca="true" t="shared" si="57" ref="K275:K280">IF(ISBLANK(C275)," ",IF(C275&lt;PetitionDate-(365*2),"Not timely","OK"))</f>
        <v> </v>
      </c>
    </row>
    <row r="276" spans="1:11" ht="14.25">
      <c r="A276" s="32"/>
      <c r="B276" s="155"/>
      <c r="C276" s="4"/>
      <c r="D276" s="8"/>
      <c r="E276" s="25">
        <f t="shared" si="55"/>
      </c>
      <c r="F276" s="24"/>
      <c r="G276" s="169">
        <f>IF(ISBLANK(B276),"",VLOOKUP(B276,'Imputed Interest Rates'!A$2:H$99,8))</f>
      </c>
      <c r="H276" s="2"/>
      <c r="I276" s="94"/>
      <c r="J276" s="109" t="str">
        <f t="shared" si="56"/>
        <v> </v>
      </c>
      <c r="K276" s="113" t="str">
        <f t="shared" si="57"/>
        <v> </v>
      </c>
    </row>
    <row r="277" spans="1:11" ht="14.25">
      <c r="A277" s="32"/>
      <c r="B277" s="138"/>
      <c r="C277" s="4"/>
      <c r="D277" s="8"/>
      <c r="E277" s="25">
        <f t="shared" si="55"/>
      </c>
      <c r="F277" s="24"/>
      <c r="G277" s="169">
        <f>IF(ISBLANK(B277),"",VLOOKUP(B277,'Imputed Interest Rates'!A$2:H$99,8))</f>
      </c>
      <c r="H277" s="2"/>
      <c r="I277" s="94"/>
      <c r="J277" s="109" t="str">
        <f t="shared" si="56"/>
        <v> </v>
      </c>
      <c r="K277" s="113" t="str">
        <f t="shared" si="57"/>
        <v> </v>
      </c>
    </row>
    <row r="278" spans="1:11" ht="14.25">
      <c r="A278" s="32"/>
      <c r="B278" s="138"/>
      <c r="C278" s="4"/>
      <c r="D278" s="8"/>
      <c r="E278" s="25">
        <f t="shared" si="55"/>
      </c>
      <c r="F278" s="24"/>
      <c r="G278" s="169">
        <f>IF(ISBLANK(B278),"",VLOOKUP(B278,'Imputed Interest Rates'!A$2:H$99,8))</f>
      </c>
      <c r="H278" s="2"/>
      <c r="I278" s="94"/>
      <c r="J278" s="109" t="str">
        <f t="shared" si="56"/>
        <v> </v>
      </c>
      <c r="K278" s="113" t="str">
        <f t="shared" si="57"/>
        <v> </v>
      </c>
    </row>
    <row r="279" spans="1:11" ht="14.25">
      <c r="A279" s="32"/>
      <c r="B279" s="138"/>
      <c r="C279" s="4"/>
      <c r="D279" s="8"/>
      <c r="E279" s="25">
        <f t="shared" si="55"/>
      </c>
      <c r="F279" s="24"/>
      <c r="G279" s="169">
        <f>IF(ISBLANK(B279),"",VLOOKUP(B279,'Imputed Interest Rates'!A$2:H$99,8))</f>
      </c>
      <c r="H279" s="2"/>
      <c r="I279" s="94"/>
      <c r="J279" s="109" t="str">
        <f t="shared" si="56"/>
        <v> </v>
      </c>
      <c r="K279" s="113" t="str">
        <f t="shared" si="57"/>
        <v> </v>
      </c>
    </row>
    <row r="280" spans="1:11" ht="14.25">
      <c r="A280" s="124"/>
      <c r="B280" s="142"/>
      <c r="C280" s="9"/>
      <c r="D280" s="10"/>
      <c r="E280" s="26">
        <f t="shared" si="55"/>
      </c>
      <c r="F280" s="27"/>
      <c r="G280" s="169">
        <f>IF(ISBLANK(B280),"",VLOOKUP(B280,'Imputed Interest Rates'!A$2:H$99,8))</f>
      </c>
      <c r="H280" s="42"/>
      <c r="I280" s="95"/>
      <c r="J280" s="114" t="str">
        <f t="shared" si="56"/>
        <v> </v>
      </c>
      <c r="K280" s="115" t="str">
        <f t="shared" si="57"/>
        <v> </v>
      </c>
    </row>
    <row r="281" spans="1:11" ht="14.25">
      <c r="A281" s="96" t="s">
        <v>20</v>
      </c>
      <c r="B281" s="143"/>
      <c r="C281" s="97"/>
      <c r="D281" s="98"/>
      <c r="E281" s="25">
        <f>IF(ISNUMBER(E275),SUM(E275:E280),"")</f>
      </c>
      <c r="F281" s="29"/>
      <c r="G281" s="135">
        <f>IF(ISNUMBER(G275),ROUND(SUMPRODUCT(G275:G280,E275:E280)/E281,5),"")</f>
      </c>
      <c r="H281" s="43">
        <f>IF(ISNUMBER(H275),SUMPRODUCT(H275:H280,E275:E280)/E281,"")</f>
      </c>
      <c r="I281" s="119"/>
      <c r="J281" s="109" t="str">
        <f>IF(ISNUMBER(H281),PMT(($G281/12),($H281*12),-(E281))," ")</f>
        <v> </v>
      </c>
      <c r="K281" s="112" t="str">
        <f>IF(ISNUMBER($I281),IF($C281&lt;EffectiveDate-(365*2),0,PMT(($H281/12),($I281*12),-($G281*0.7)))," ")</f>
        <v> </v>
      </c>
    </row>
    <row r="282" spans="1:11" ht="14.25">
      <c r="A282" s="99" t="s">
        <v>21</v>
      </c>
      <c r="B282" s="144"/>
      <c r="C282" s="100"/>
      <c r="D282" s="100"/>
      <c r="E282" s="28">
        <f>IF(ISNUMBER(E281),$F$23+E281,"")</f>
      </c>
      <c r="F282" s="110">
        <f>IF(ISNUMBER(#REF!),G281+$F$23,"")</f>
      </c>
      <c r="G282" s="136">
        <f>IF(ISNUMBER(G281),ROUND((E281*G281+$F$23*$G$18)/($E282),5),"")</f>
      </c>
      <c r="H282" s="44">
        <f>IF(ISNUMBER(H281),ROUND((H281*E281+$F$23*$H$18)/$E282,0),"")</f>
      </c>
      <c r="I282" s="28"/>
      <c r="J282" s="111" t="str">
        <f>IF(ISNUMBER(H282),PMT(($G282/12),($H283*12),-(E282))," ")</f>
        <v> </v>
      </c>
      <c r="K282" s="113"/>
    </row>
    <row r="283" spans="1:11" ht="71.25" customHeight="1">
      <c r="A283" s="101"/>
      <c r="B283" s="145"/>
      <c r="C283" s="102"/>
      <c r="D283" s="103"/>
      <c r="E283" s="104"/>
      <c r="F283" s="183" t="s">
        <v>26</v>
      </c>
      <c r="G283" s="184"/>
      <c r="H283" s="161">
        <f>H282</f>
      </c>
      <c r="I283" s="105" t="s">
        <v>22</v>
      </c>
      <c r="J283" s="116">
        <f>IF(ISNUMBER(E273),J282/E273,"")</f>
      </c>
      <c r="K283" s="153" t="str">
        <f>_xlfn.CONCAT("If percent increase is more than 10%, increase amortization period in cell ",ADDRESS(ROW(),8,4)," until percent increase is not more than 10%")</f>
        <v>If percent increase is more than 10%, increase amortization period in cell H283 until percent increase is not more than 10%</v>
      </c>
    </row>
    <row r="284" spans="1:11" ht="15.75" customHeight="1">
      <c r="A284" s="117"/>
      <c r="B284" s="117"/>
      <c r="C284" s="81"/>
      <c r="D284" s="82"/>
      <c r="E284" s="83"/>
      <c r="F284" s="83"/>
      <c r="G284" s="84"/>
      <c r="H284" s="85"/>
      <c r="I284" s="86"/>
      <c r="J284" s="86"/>
      <c r="K284" s="86"/>
    </row>
    <row r="285" spans="1:11" ht="14.25">
      <c r="A285" s="87" t="s">
        <v>19</v>
      </c>
      <c r="B285" s="93"/>
      <c r="C285" s="88"/>
      <c r="D285" s="87" t="s">
        <v>6</v>
      </c>
      <c r="E285" s="89"/>
      <c r="F285" s="90"/>
      <c r="G285" s="91"/>
      <c r="H285" s="91"/>
      <c r="I285" s="92"/>
      <c r="J285" s="92"/>
      <c r="K285" s="93"/>
    </row>
    <row r="286" spans="1:11" ht="64.5">
      <c r="A286" s="128" t="s">
        <v>0</v>
      </c>
      <c r="B286" s="125" t="s">
        <v>28</v>
      </c>
      <c r="C286" s="133" t="s">
        <v>1</v>
      </c>
      <c r="D286" s="128" t="s">
        <v>30</v>
      </c>
      <c r="E286" s="125" t="s">
        <v>24</v>
      </c>
      <c r="F286" s="125"/>
      <c r="G286" s="128" t="s">
        <v>14</v>
      </c>
      <c r="H286" s="127" t="s">
        <v>16</v>
      </c>
      <c r="I286" s="128"/>
      <c r="J286" s="125" t="s">
        <v>15</v>
      </c>
      <c r="K286" s="129" t="s">
        <v>10</v>
      </c>
    </row>
    <row r="287" spans="1:11" ht="14.25">
      <c r="A287" s="32"/>
      <c r="B287" s="147"/>
      <c r="C287" s="13"/>
      <c r="D287" s="12"/>
      <c r="E287" s="25">
        <f aca="true" t="shared" si="58" ref="E287:E292">IF(ISBLANK(D287),"",IF(C287&lt;PetitionDate-(365*2),0,D287*0.7))</f>
      </c>
      <c r="F287" s="24"/>
      <c r="G287" s="169">
        <f>IF(ISBLANK(B287),"",VLOOKUP(B287,'Imputed Interest Rates'!A$2:H$99,8))</f>
      </c>
      <c r="H287" s="11"/>
      <c r="I287" s="94"/>
      <c r="J287" s="109" t="str">
        <f aca="true" t="shared" si="59" ref="J287:J292">IF(ISNUMBER(H287),IF(C287&lt;EffectiveDate-(365*2),0,PMT(($G287/12),($H287*12),-(E287)))," ")</f>
        <v> </v>
      </c>
      <c r="K287" s="112" t="str">
        <f aca="true" t="shared" si="60" ref="K287:K292">IF(ISBLANK(C287)," ",IF(C287&lt;PetitionDate-(365*2),"Not timely","OK"))</f>
        <v> </v>
      </c>
    </row>
    <row r="288" spans="1:11" ht="14.25">
      <c r="A288" s="32"/>
      <c r="B288" s="155"/>
      <c r="C288" s="4"/>
      <c r="D288" s="8"/>
      <c r="E288" s="25">
        <f t="shared" si="58"/>
      </c>
      <c r="F288" s="24"/>
      <c r="G288" s="169">
        <f>IF(ISBLANK(B288),"",VLOOKUP(B288,'Imputed Interest Rates'!A$2:H$99,8))</f>
      </c>
      <c r="H288" s="2"/>
      <c r="I288" s="94"/>
      <c r="J288" s="109" t="str">
        <f t="shared" si="59"/>
        <v> </v>
      </c>
      <c r="K288" s="113" t="str">
        <f t="shared" si="60"/>
        <v> </v>
      </c>
    </row>
    <row r="289" spans="1:11" ht="14.25">
      <c r="A289" s="32"/>
      <c r="B289" s="138"/>
      <c r="C289" s="4"/>
      <c r="D289" s="8"/>
      <c r="E289" s="25">
        <f t="shared" si="58"/>
      </c>
      <c r="F289" s="24"/>
      <c r="G289" s="169">
        <f>IF(ISBLANK(B289),"",VLOOKUP(B289,'Imputed Interest Rates'!A$2:H$99,8))</f>
      </c>
      <c r="H289" s="2"/>
      <c r="I289" s="94"/>
      <c r="J289" s="109" t="str">
        <f t="shared" si="59"/>
        <v> </v>
      </c>
      <c r="K289" s="113" t="str">
        <f t="shared" si="60"/>
        <v> </v>
      </c>
    </row>
    <row r="290" spans="1:11" ht="14.25">
      <c r="A290" s="32"/>
      <c r="B290" s="138"/>
      <c r="C290" s="4"/>
      <c r="D290" s="8"/>
      <c r="E290" s="25">
        <f t="shared" si="58"/>
      </c>
      <c r="F290" s="24"/>
      <c r="G290" s="169">
        <f>IF(ISBLANK(B290),"",VLOOKUP(B290,'Imputed Interest Rates'!A$2:H$99,8))</f>
      </c>
      <c r="H290" s="2"/>
      <c r="I290" s="94"/>
      <c r="J290" s="109" t="str">
        <f t="shared" si="59"/>
        <v> </v>
      </c>
      <c r="K290" s="113" t="str">
        <f t="shared" si="60"/>
        <v> </v>
      </c>
    </row>
    <row r="291" spans="1:11" ht="14.25">
      <c r="A291" s="32"/>
      <c r="B291" s="138"/>
      <c r="C291" s="4"/>
      <c r="D291" s="8"/>
      <c r="E291" s="25">
        <f t="shared" si="58"/>
      </c>
      <c r="F291" s="24"/>
      <c r="G291" s="169">
        <f>IF(ISBLANK(B291),"",VLOOKUP(B291,'Imputed Interest Rates'!A$2:H$99,8))</f>
      </c>
      <c r="H291" s="2"/>
      <c r="I291" s="94"/>
      <c r="J291" s="109" t="str">
        <f t="shared" si="59"/>
        <v> </v>
      </c>
      <c r="K291" s="113" t="str">
        <f t="shared" si="60"/>
        <v> </v>
      </c>
    </row>
    <row r="292" spans="1:11" ht="14.25">
      <c r="A292" s="124"/>
      <c r="B292" s="142"/>
      <c r="C292" s="9"/>
      <c r="D292" s="10"/>
      <c r="E292" s="26">
        <f t="shared" si="58"/>
      </c>
      <c r="F292" s="27"/>
      <c r="G292" s="169">
        <f>IF(ISBLANK(B292),"",VLOOKUP(B292,'Imputed Interest Rates'!A$2:H$99,8))</f>
      </c>
      <c r="H292" s="42"/>
      <c r="I292" s="95"/>
      <c r="J292" s="114" t="str">
        <f t="shared" si="59"/>
        <v> </v>
      </c>
      <c r="K292" s="115" t="str">
        <f t="shared" si="60"/>
        <v> </v>
      </c>
    </row>
    <row r="293" spans="1:11" ht="14.25">
      <c r="A293" s="96" t="s">
        <v>20</v>
      </c>
      <c r="B293" s="143"/>
      <c r="C293" s="97"/>
      <c r="D293" s="98"/>
      <c r="E293" s="25">
        <f>IF(ISNUMBER(E287),SUM(E287:E292),"")</f>
      </c>
      <c r="F293" s="29"/>
      <c r="G293" s="135">
        <f>IF(ISNUMBER(G287),ROUND(SUMPRODUCT(G287:G292,E287:E292)/E293,5),"")</f>
      </c>
      <c r="H293" s="43">
        <f>IF(ISNUMBER(H287),SUMPRODUCT(H287:H292,E287:E292)/E293,"")</f>
      </c>
      <c r="I293" s="119"/>
      <c r="J293" s="109" t="str">
        <f>IF(ISNUMBER(H293),PMT(($G293/12),($H293*12),-(E293))," ")</f>
        <v> </v>
      </c>
      <c r="K293" s="112" t="str">
        <f>IF(ISNUMBER($I293),IF($C293&lt;EffectiveDate-(365*2),0,PMT(($H293/12),($I293*12),-($G293*0.7)))," ")</f>
        <v> </v>
      </c>
    </row>
    <row r="294" spans="1:11" ht="14.25">
      <c r="A294" s="99" t="s">
        <v>21</v>
      </c>
      <c r="B294" s="144"/>
      <c r="C294" s="100"/>
      <c r="D294" s="100"/>
      <c r="E294" s="28">
        <f>IF(ISNUMBER(E293),$F$23+E293,"")</f>
      </c>
      <c r="F294" s="110">
        <f>IF(ISNUMBER(#REF!),G293+$F$23,"")</f>
      </c>
      <c r="G294" s="136">
        <f>IF(ISNUMBER(G293),ROUND((E293*G293+$F$23*$G$18)/($E294),5),"")</f>
      </c>
      <c r="H294" s="44">
        <f>IF(ISNUMBER(H293),ROUND((H293*E293+$F$23*$H$18)/$E294,0),"")</f>
      </c>
      <c r="I294" s="28"/>
      <c r="J294" s="111" t="str">
        <f>IF(ISNUMBER(H294),PMT(($G294/12),($H295*12),-(E294))," ")</f>
        <v> </v>
      </c>
      <c r="K294" s="113"/>
    </row>
    <row r="295" spans="1:11" ht="72">
      <c r="A295" s="101"/>
      <c r="B295" s="145"/>
      <c r="C295" s="102"/>
      <c r="D295" s="103"/>
      <c r="E295" s="104"/>
      <c r="F295" s="183" t="s">
        <v>26</v>
      </c>
      <c r="G295" s="184"/>
      <c r="H295" s="161">
        <f>H294</f>
      </c>
      <c r="I295" s="105" t="s">
        <v>22</v>
      </c>
      <c r="J295" s="116">
        <f>IF(ISNUMBER(E285),J294/E285,"")</f>
      </c>
      <c r="K295" s="153" t="str">
        <f>_xlfn.CONCAT("If percent increase is more than 10%, increase amortization period in cell ",ADDRESS(ROW(),8,4)," until percent increase is not more than 10%")</f>
        <v>If percent increase is more than 10%, increase amortization period in cell H295 until percent increase is not more than 10%</v>
      </c>
    </row>
    <row r="298" spans="1:11" ht="14.25">
      <c r="A298" s="45" t="s">
        <v>12</v>
      </c>
      <c r="B298" s="137"/>
      <c r="C298" s="75"/>
      <c r="D298" s="76"/>
      <c r="E298" s="77"/>
      <c r="F298" s="77"/>
      <c r="G298" s="78"/>
      <c r="H298" s="79"/>
      <c r="I298" s="80"/>
      <c r="J298" s="80"/>
      <c r="K298" s="80"/>
    </row>
    <row r="299" spans="1:11" ht="14.25">
      <c r="A299" s="87" t="s">
        <v>19</v>
      </c>
      <c r="B299" s="93"/>
      <c r="C299" s="88"/>
      <c r="D299" s="87" t="s">
        <v>6</v>
      </c>
      <c r="E299" s="89"/>
      <c r="F299" s="90"/>
      <c r="G299" s="91"/>
      <c r="H299" s="91"/>
      <c r="I299" s="92"/>
      <c r="J299" s="92"/>
      <c r="K299" s="93"/>
    </row>
    <row r="300" spans="1:11" ht="64.5">
      <c r="A300" s="128" t="s">
        <v>0</v>
      </c>
      <c r="B300" s="125" t="s">
        <v>28</v>
      </c>
      <c r="C300" s="133" t="s">
        <v>1</v>
      </c>
      <c r="D300" s="128" t="s">
        <v>30</v>
      </c>
      <c r="E300" s="125" t="s">
        <v>24</v>
      </c>
      <c r="F300" s="125"/>
      <c r="G300" s="128" t="s">
        <v>14</v>
      </c>
      <c r="H300" s="127" t="s">
        <v>16</v>
      </c>
      <c r="I300" s="128"/>
      <c r="J300" s="125" t="s">
        <v>15</v>
      </c>
      <c r="K300" s="129" t="s">
        <v>10</v>
      </c>
    </row>
    <row r="301" spans="1:11" ht="14.25">
      <c r="A301" s="32"/>
      <c r="B301" s="147"/>
      <c r="C301" s="13"/>
      <c r="D301" s="12"/>
      <c r="E301" s="25">
        <f aca="true" t="shared" si="61" ref="E301:E306">IF(ISBLANK(D301),"",IF(C301&lt;PetitionDate-(365*2),0,D301*0.7))</f>
      </c>
      <c r="F301" s="24"/>
      <c r="G301" s="169">
        <f>IF(ISBLANK(B301),"",VLOOKUP(B301,'Imputed Interest Rates'!A$2:H$99,8))</f>
      </c>
      <c r="H301" s="11"/>
      <c r="I301" s="94"/>
      <c r="J301" s="109" t="str">
        <f aca="true" t="shared" si="62" ref="J301:J306">IF(ISNUMBER(H301),IF(C301&lt;EffectiveDate-(365*2),0,PMT(($G301/12),($H301*12),-(E301)))," ")</f>
        <v> </v>
      </c>
      <c r="K301" s="112" t="str">
        <f aca="true" t="shared" si="63" ref="K301:K306">IF(ISBLANK(C301)," ",IF(C301&lt;PetitionDate-(365*2),"Not timely","OK"))</f>
        <v> </v>
      </c>
    </row>
    <row r="302" spans="1:11" ht="14.25">
      <c r="A302" s="32"/>
      <c r="B302" s="155"/>
      <c r="C302" s="4"/>
      <c r="D302" s="8"/>
      <c r="E302" s="25">
        <f t="shared" si="61"/>
      </c>
      <c r="F302" s="24"/>
      <c r="G302" s="169">
        <f>IF(ISBLANK(B302),"",VLOOKUP(B302,'Imputed Interest Rates'!A$2:H$99,8))</f>
      </c>
      <c r="H302" s="2"/>
      <c r="I302" s="94"/>
      <c r="J302" s="109" t="str">
        <f t="shared" si="62"/>
        <v> </v>
      </c>
      <c r="K302" s="113" t="str">
        <f t="shared" si="63"/>
        <v> </v>
      </c>
    </row>
    <row r="303" spans="1:11" ht="14.25">
      <c r="A303" s="32"/>
      <c r="B303" s="138"/>
      <c r="C303" s="4"/>
      <c r="D303" s="8"/>
      <c r="E303" s="25">
        <f t="shared" si="61"/>
      </c>
      <c r="F303" s="24"/>
      <c r="G303" s="169">
        <f>IF(ISBLANK(B303),"",VLOOKUP(B303,'Imputed Interest Rates'!A$2:H$99,8))</f>
      </c>
      <c r="H303" s="2"/>
      <c r="I303" s="94"/>
      <c r="J303" s="109" t="str">
        <f t="shared" si="62"/>
        <v> </v>
      </c>
      <c r="K303" s="113" t="str">
        <f t="shared" si="63"/>
        <v> </v>
      </c>
    </row>
    <row r="304" spans="1:11" ht="14.25">
      <c r="A304" s="32"/>
      <c r="B304" s="138"/>
      <c r="C304" s="4"/>
      <c r="D304" s="8"/>
      <c r="E304" s="25">
        <f t="shared" si="61"/>
      </c>
      <c r="F304" s="24"/>
      <c r="G304" s="169">
        <f>IF(ISBLANK(B304),"",VLOOKUP(B304,'Imputed Interest Rates'!A$2:H$99,8))</f>
      </c>
      <c r="H304" s="2"/>
      <c r="I304" s="94"/>
      <c r="J304" s="109" t="str">
        <f t="shared" si="62"/>
        <v> </v>
      </c>
      <c r="K304" s="113" t="str">
        <f t="shared" si="63"/>
        <v> </v>
      </c>
    </row>
    <row r="305" spans="1:11" ht="14.25">
      <c r="A305" s="32"/>
      <c r="B305" s="138"/>
      <c r="C305" s="4"/>
      <c r="D305" s="8"/>
      <c r="E305" s="25">
        <f t="shared" si="61"/>
      </c>
      <c r="F305" s="24"/>
      <c r="G305" s="169">
        <f>IF(ISBLANK(B305),"",VLOOKUP(B305,'Imputed Interest Rates'!A$2:H$99,8))</f>
      </c>
      <c r="H305" s="2"/>
      <c r="I305" s="94"/>
      <c r="J305" s="109" t="str">
        <f t="shared" si="62"/>
        <v> </v>
      </c>
      <c r="K305" s="113" t="str">
        <f t="shared" si="63"/>
        <v> </v>
      </c>
    </row>
    <row r="306" spans="1:11" ht="14.25">
      <c r="A306" s="124"/>
      <c r="B306" s="142"/>
      <c r="C306" s="9"/>
      <c r="D306" s="10"/>
      <c r="E306" s="26">
        <f t="shared" si="61"/>
      </c>
      <c r="F306" s="27"/>
      <c r="G306" s="169">
        <f>IF(ISBLANK(B306),"",VLOOKUP(B306,'Imputed Interest Rates'!A$2:H$99,8))</f>
      </c>
      <c r="H306" s="42"/>
      <c r="I306" s="95"/>
      <c r="J306" s="114" t="str">
        <f t="shared" si="62"/>
        <v> </v>
      </c>
      <c r="K306" s="115" t="str">
        <f t="shared" si="63"/>
        <v> </v>
      </c>
    </row>
    <row r="307" spans="1:11" ht="14.25">
      <c r="A307" s="96" t="s">
        <v>20</v>
      </c>
      <c r="B307" s="143"/>
      <c r="C307" s="97"/>
      <c r="D307" s="98"/>
      <c r="E307" s="25">
        <f>IF(ISNUMBER(E301),SUM(E301:E306),"")</f>
      </c>
      <c r="F307" s="29"/>
      <c r="G307" s="135">
        <f>IF(ISNUMBER(G301),ROUND(SUMPRODUCT(G301:G306,E301:E306)/E307,5),"")</f>
      </c>
      <c r="H307" s="43">
        <f>IF(ISNUMBER(H301),SUMPRODUCT(H301:H306,E301:E306)/E307,"")</f>
      </c>
      <c r="I307" s="119"/>
      <c r="J307" s="109" t="str">
        <f>IF(ISNUMBER(H307),PMT(($G307/12),($H307*12),-(E307))," ")</f>
        <v> </v>
      </c>
      <c r="K307" s="112" t="str">
        <f>IF(ISNUMBER($I307),IF($C307&lt;EffectiveDate-(365*2),0,PMT(($H307/12),($I307*12),-($G307*0.7)))," ")</f>
        <v> </v>
      </c>
    </row>
    <row r="308" spans="1:11" ht="14.25">
      <c r="A308" s="99" t="s">
        <v>21</v>
      </c>
      <c r="B308" s="144"/>
      <c r="C308" s="100"/>
      <c r="D308" s="100"/>
      <c r="E308" s="28">
        <f>IF(ISNUMBER(E307),$F$23+E307,"")</f>
      </c>
      <c r="F308" s="110">
        <f>IF(ISNUMBER(#REF!),G307+$F$23,"")</f>
      </c>
      <c r="G308" s="136">
        <f>IF(ISNUMBER(G307),ROUND((E307*G307+$F$23*$G$18)/($E308),5),"")</f>
      </c>
      <c r="H308" s="44">
        <f>IF(ISNUMBER(H307),ROUND((H307*E307+$F$23*$H$18)/$E308,0),"")</f>
      </c>
      <c r="I308" s="28"/>
      <c r="J308" s="111" t="str">
        <f>IF(ISNUMBER(H308),PMT(($G308/12),($H309*12),-(E308))," ")</f>
        <v> </v>
      </c>
      <c r="K308" s="113"/>
    </row>
    <row r="309" spans="1:11" ht="71.25" customHeight="1">
      <c r="A309" s="101"/>
      <c r="B309" s="145"/>
      <c r="C309" s="102"/>
      <c r="D309" s="103"/>
      <c r="E309" s="104"/>
      <c r="F309" s="183" t="s">
        <v>26</v>
      </c>
      <c r="G309" s="184"/>
      <c r="H309" s="161">
        <f>H308</f>
      </c>
      <c r="I309" s="105" t="s">
        <v>22</v>
      </c>
      <c r="J309" s="116">
        <f>IF(ISNUMBER(E299),J308/E299,"")</f>
      </c>
      <c r="K309" s="153" t="str">
        <f>_xlfn.CONCAT("If percent increase is more than 10%, increase amortization period in cell ",ADDRESS(ROW(),8,4)," until percent increase is not more than 10%")</f>
        <v>If percent increase is more than 10%, increase amortization period in cell H309 until percent increase is not more than 10%</v>
      </c>
    </row>
    <row r="310" spans="1:11" ht="15.75" customHeight="1">
      <c r="A310" s="117"/>
      <c r="B310" s="117"/>
      <c r="C310" s="81"/>
      <c r="D310" s="82"/>
      <c r="E310" s="83"/>
      <c r="F310" s="83"/>
      <c r="G310" s="84"/>
      <c r="H310" s="85"/>
      <c r="I310" s="86"/>
      <c r="J310" s="86"/>
      <c r="K310" s="86"/>
    </row>
    <row r="311" spans="1:11" ht="14.25">
      <c r="A311" s="87" t="s">
        <v>19</v>
      </c>
      <c r="B311" s="93"/>
      <c r="C311" s="88"/>
      <c r="D311" s="87" t="s">
        <v>6</v>
      </c>
      <c r="E311" s="89"/>
      <c r="F311" s="90"/>
      <c r="G311" s="91"/>
      <c r="H311" s="91"/>
      <c r="I311" s="92"/>
      <c r="J311" s="92"/>
      <c r="K311" s="93"/>
    </row>
    <row r="312" spans="1:11" ht="64.5">
      <c r="A312" s="128" t="s">
        <v>0</v>
      </c>
      <c r="B312" s="125" t="s">
        <v>28</v>
      </c>
      <c r="C312" s="133" t="s">
        <v>1</v>
      </c>
      <c r="D312" s="128" t="s">
        <v>30</v>
      </c>
      <c r="E312" s="125" t="s">
        <v>24</v>
      </c>
      <c r="F312" s="125"/>
      <c r="G312" s="128" t="s">
        <v>14</v>
      </c>
      <c r="H312" s="127" t="s">
        <v>16</v>
      </c>
      <c r="I312" s="128"/>
      <c r="J312" s="125" t="s">
        <v>15</v>
      </c>
      <c r="K312" s="129" t="s">
        <v>10</v>
      </c>
    </row>
    <row r="313" spans="1:11" ht="14.25">
      <c r="A313" s="32"/>
      <c r="B313" s="147"/>
      <c r="C313" s="13"/>
      <c r="D313" s="12"/>
      <c r="E313" s="25">
        <f aca="true" t="shared" si="64" ref="E313:E318">IF(ISBLANK(D313),"",IF(C313&lt;PetitionDate-(365*2),0,D313*0.7))</f>
      </c>
      <c r="F313" s="24"/>
      <c r="G313" s="169">
        <f>IF(ISBLANK(B313),"",VLOOKUP(B313,'Imputed Interest Rates'!A$2:H$99,8))</f>
      </c>
      <c r="H313" s="11"/>
      <c r="I313" s="94"/>
      <c r="J313" s="109" t="str">
        <f aca="true" t="shared" si="65" ref="J313:J318">IF(ISNUMBER(H313),IF(C313&lt;EffectiveDate-(365*2),0,PMT(($G313/12),($H313*12),-(E313)))," ")</f>
        <v> </v>
      </c>
      <c r="K313" s="112" t="str">
        <f aca="true" t="shared" si="66" ref="K313:K318">IF(ISBLANK(C313)," ",IF(C313&lt;PetitionDate-(365*2),"Not timely","OK"))</f>
        <v> </v>
      </c>
    </row>
    <row r="314" spans="1:11" ht="14.25">
      <c r="A314" s="32"/>
      <c r="B314" s="155"/>
      <c r="C314" s="4"/>
      <c r="D314" s="8"/>
      <c r="E314" s="25">
        <f t="shared" si="64"/>
      </c>
      <c r="F314" s="24"/>
      <c r="G314" s="169">
        <f>IF(ISBLANK(B314),"",VLOOKUP(B314,'Imputed Interest Rates'!A$2:H$99,8))</f>
      </c>
      <c r="H314" s="2"/>
      <c r="I314" s="94"/>
      <c r="J314" s="109" t="str">
        <f t="shared" si="65"/>
        <v> </v>
      </c>
      <c r="K314" s="113" t="str">
        <f t="shared" si="66"/>
        <v> </v>
      </c>
    </row>
    <row r="315" spans="1:11" ht="14.25">
      <c r="A315" s="32"/>
      <c r="B315" s="138"/>
      <c r="C315" s="4"/>
      <c r="D315" s="8"/>
      <c r="E315" s="25">
        <f t="shared" si="64"/>
      </c>
      <c r="F315" s="24"/>
      <c r="G315" s="169">
        <f>IF(ISBLANK(B315),"",VLOOKUP(B315,'Imputed Interest Rates'!A$2:H$99,8))</f>
      </c>
      <c r="H315" s="2"/>
      <c r="I315" s="94"/>
      <c r="J315" s="109" t="str">
        <f t="shared" si="65"/>
        <v> </v>
      </c>
      <c r="K315" s="113" t="str">
        <f t="shared" si="66"/>
        <v> </v>
      </c>
    </row>
    <row r="316" spans="1:11" ht="14.25">
      <c r="A316" s="32"/>
      <c r="B316" s="138"/>
      <c r="C316" s="4"/>
      <c r="D316" s="8"/>
      <c r="E316" s="25">
        <f t="shared" si="64"/>
      </c>
      <c r="F316" s="24"/>
      <c r="G316" s="169">
        <f>IF(ISBLANK(B316),"",VLOOKUP(B316,'Imputed Interest Rates'!A$2:H$99,8))</f>
      </c>
      <c r="H316" s="2"/>
      <c r="I316" s="94"/>
      <c r="J316" s="109" t="str">
        <f t="shared" si="65"/>
        <v> </v>
      </c>
      <c r="K316" s="113" t="str">
        <f t="shared" si="66"/>
        <v> </v>
      </c>
    </row>
    <row r="317" spans="1:11" ht="14.25">
      <c r="A317" s="32"/>
      <c r="B317" s="138"/>
      <c r="C317" s="4"/>
      <c r="D317" s="8"/>
      <c r="E317" s="25">
        <f t="shared" si="64"/>
      </c>
      <c r="F317" s="24"/>
      <c r="G317" s="169">
        <f>IF(ISBLANK(B317),"",VLOOKUP(B317,'Imputed Interest Rates'!A$2:H$99,8))</f>
      </c>
      <c r="H317" s="2"/>
      <c r="I317" s="94"/>
      <c r="J317" s="109" t="str">
        <f t="shared" si="65"/>
        <v> </v>
      </c>
      <c r="K317" s="113" t="str">
        <f t="shared" si="66"/>
        <v> </v>
      </c>
    </row>
    <row r="318" spans="1:11" ht="14.25">
      <c r="A318" s="124"/>
      <c r="B318" s="142"/>
      <c r="C318" s="9"/>
      <c r="D318" s="10"/>
      <c r="E318" s="26">
        <f t="shared" si="64"/>
      </c>
      <c r="F318" s="27"/>
      <c r="G318" s="169">
        <f>IF(ISBLANK(B318),"",VLOOKUP(B318,'Imputed Interest Rates'!A$2:H$99,8))</f>
      </c>
      <c r="H318" s="42"/>
      <c r="I318" s="95"/>
      <c r="J318" s="114" t="str">
        <f t="shared" si="65"/>
        <v> </v>
      </c>
      <c r="K318" s="115" t="str">
        <f t="shared" si="66"/>
        <v> </v>
      </c>
    </row>
    <row r="319" spans="1:11" ht="14.25">
      <c r="A319" s="96" t="s">
        <v>20</v>
      </c>
      <c r="B319" s="143"/>
      <c r="C319" s="97"/>
      <c r="D319" s="98"/>
      <c r="E319" s="25">
        <f>IF(ISNUMBER(E313),SUM(E313:E318),"")</f>
      </c>
      <c r="F319" s="29"/>
      <c r="G319" s="135">
        <f>IF(ISNUMBER(G313),ROUND(SUMPRODUCT(G313:G318,E313:E318)/E319,5),"")</f>
      </c>
      <c r="H319" s="43">
        <f>IF(ISNUMBER(H313),SUMPRODUCT(H313:H318,E313:E318)/E319,"")</f>
      </c>
      <c r="I319" s="119"/>
      <c r="J319" s="109" t="str">
        <f>IF(ISNUMBER(H319),PMT(($G319/12),($H319*12),-(E319))," ")</f>
        <v> </v>
      </c>
      <c r="K319" s="112" t="str">
        <f>IF(ISNUMBER($I319),IF($C319&lt;EffectiveDate-(365*2),0,PMT(($H319/12),($I319*12),-($G319*0.7)))," ")</f>
        <v> </v>
      </c>
    </row>
    <row r="320" spans="1:11" ht="14.25">
      <c r="A320" s="99" t="s">
        <v>21</v>
      </c>
      <c r="B320" s="144"/>
      <c r="C320" s="100"/>
      <c r="D320" s="100"/>
      <c r="E320" s="28">
        <f>IF(ISNUMBER(E319),$F$23+E319,"")</f>
      </c>
      <c r="F320" s="110">
        <f>IF(ISNUMBER(#REF!),G319+$F$23,"")</f>
      </c>
      <c r="G320" s="136">
        <f>IF(ISNUMBER(G319),ROUND((E319*G319+$F$23*$G$18)/($E320),5),"")</f>
      </c>
      <c r="H320" s="44">
        <f>IF(ISNUMBER(H319),ROUND((H319*E319+$F$23*$H$18)/$E320,0),"")</f>
      </c>
      <c r="I320" s="28"/>
      <c r="J320" s="111" t="str">
        <f>IF(ISNUMBER(H320),PMT(($G320/12),($H321*12),-(E320))," ")</f>
        <v> </v>
      </c>
      <c r="K320" s="113"/>
    </row>
    <row r="321" spans="1:11" ht="72">
      <c r="A321" s="101"/>
      <c r="B321" s="145"/>
      <c r="C321" s="102"/>
      <c r="D321" s="103"/>
      <c r="E321" s="104"/>
      <c r="F321" s="183" t="s">
        <v>26</v>
      </c>
      <c r="G321" s="184"/>
      <c r="H321" s="161">
        <f>H320</f>
      </c>
      <c r="I321" s="105" t="s">
        <v>22</v>
      </c>
      <c r="J321" s="116">
        <f>IF(ISNUMBER(E311),J320/E311,"")</f>
      </c>
      <c r="K321" s="153" t="str">
        <f>_xlfn.CONCAT("If percent increase is more than 10%, increase amortization period in cell ",ADDRESS(ROW(),8,4)," until percent increase is not more than 10%")</f>
        <v>If percent increase is more than 10%, increase amortization period in cell H321 until percent increase is not more than 10%</v>
      </c>
    </row>
    <row r="324" spans="1:11" ht="14.25">
      <c r="A324" s="45" t="s">
        <v>12</v>
      </c>
      <c r="B324" s="137"/>
      <c r="C324" s="75"/>
      <c r="D324" s="76"/>
      <c r="E324" s="77"/>
      <c r="F324" s="77"/>
      <c r="G324" s="78"/>
      <c r="H324" s="79"/>
      <c r="I324" s="80"/>
      <c r="J324" s="80"/>
      <c r="K324" s="80"/>
    </row>
    <row r="325" spans="1:11" ht="14.25">
      <c r="A325" s="87" t="s">
        <v>19</v>
      </c>
      <c r="B325" s="93"/>
      <c r="C325" s="88"/>
      <c r="D325" s="87" t="s">
        <v>6</v>
      </c>
      <c r="E325" s="89"/>
      <c r="F325" s="90"/>
      <c r="G325" s="91"/>
      <c r="H325" s="91"/>
      <c r="I325" s="92"/>
      <c r="J325" s="92"/>
      <c r="K325" s="93"/>
    </row>
    <row r="326" spans="1:11" ht="64.5">
      <c r="A326" s="128" t="s">
        <v>0</v>
      </c>
      <c r="B326" s="125" t="s">
        <v>28</v>
      </c>
      <c r="C326" s="133" t="s">
        <v>1</v>
      </c>
      <c r="D326" s="128" t="s">
        <v>30</v>
      </c>
      <c r="E326" s="125" t="s">
        <v>24</v>
      </c>
      <c r="F326" s="125"/>
      <c r="G326" s="128" t="s">
        <v>14</v>
      </c>
      <c r="H326" s="127" t="s">
        <v>16</v>
      </c>
      <c r="I326" s="128"/>
      <c r="J326" s="125" t="s">
        <v>15</v>
      </c>
      <c r="K326" s="129" t="s">
        <v>10</v>
      </c>
    </row>
    <row r="327" spans="1:11" ht="14.25">
      <c r="A327" s="32"/>
      <c r="B327" s="147"/>
      <c r="C327" s="13"/>
      <c r="D327" s="12"/>
      <c r="E327" s="25">
        <f aca="true" t="shared" si="67" ref="E327:E332">IF(ISBLANK(D327),"",IF(C327&lt;PetitionDate-(365*2),0,D327*0.7))</f>
      </c>
      <c r="F327" s="24"/>
      <c r="G327" s="169">
        <f>IF(ISBLANK(B327),"",VLOOKUP(B327,'Imputed Interest Rates'!A$2:H$99,8))</f>
      </c>
      <c r="H327" s="11"/>
      <c r="I327" s="94"/>
      <c r="J327" s="109" t="str">
        <f aca="true" t="shared" si="68" ref="J327:J332">IF(ISNUMBER(H327),IF(C327&lt;EffectiveDate-(365*2),0,PMT(($G327/12),($H327*12),-(E327)))," ")</f>
        <v> </v>
      </c>
      <c r="K327" s="112" t="str">
        <f aca="true" t="shared" si="69" ref="K327:K332">IF(ISBLANK(C327)," ",IF(C327&lt;PetitionDate-(365*2),"Not timely","OK"))</f>
        <v> </v>
      </c>
    </row>
    <row r="328" spans="1:11" ht="14.25">
      <c r="A328" s="32"/>
      <c r="B328" s="155"/>
      <c r="C328" s="4"/>
      <c r="D328" s="8"/>
      <c r="E328" s="25">
        <f t="shared" si="67"/>
      </c>
      <c r="F328" s="24"/>
      <c r="G328" s="169">
        <f>IF(ISBLANK(B328),"",VLOOKUP(B328,'Imputed Interest Rates'!A$2:H$99,8))</f>
      </c>
      <c r="H328" s="2"/>
      <c r="I328" s="94"/>
      <c r="J328" s="109" t="str">
        <f t="shared" si="68"/>
        <v> </v>
      </c>
      <c r="K328" s="113" t="str">
        <f t="shared" si="69"/>
        <v> </v>
      </c>
    </row>
    <row r="329" spans="1:11" ht="14.25">
      <c r="A329" s="32"/>
      <c r="B329" s="138"/>
      <c r="C329" s="4"/>
      <c r="D329" s="8"/>
      <c r="E329" s="25">
        <f t="shared" si="67"/>
      </c>
      <c r="F329" s="24"/>
      <c r="G329" s="169">
        <f>IF(ISBLANK(B329),"",VLOOKUP(B329,'Imputed Interest Rates'!A$2:H$99,8))</f>
      </c>
      <c r="H329" s="2"/>
      <c r="I329" s="94"/>
      <c r="J329" s="109" t="str">
        <f t="shared" si="68"/>
        <v> </v>
      </c>
      <c r="K329" s="113" t="str">
        <f t="shared" si="69"/>
        <v> </v>
      </c>
    </row>
    <row r="330" spans="1:11" ht="14.25">
      <c r="A330" s="32"/>
      <c r="B330" s="138"/>
      <c r="C330" s="4"/>
      <c r="D330" s="8"/>
      <c r="E330" s="25">
        <f t="shared" si="67"/>
      </c>
      <c r="F330" s="24"/>
      <c r="G330" s="169">
        <f>IF(ISBLANK(B330),"",VLOOKUP(B330,'Imputed Interest Rates'!A$2:H$99,8))</f>
      </c>
      <c r="H330" s="2"/>
      <c r="I330" s="94"/>
      <c r="J330" s="109" t="str">
        <f t="shared" si="68"/>
        <v> </v>
      </c>
      <c r="K330" s="113" t="str">
        <f t="shared" si="69"/>
        <v> </v>
      </c>
    </row>
    <row r="331" spans="1:11" ht="14.25">
      <c r="A331" s="32"/>
      <c r="B331" s="138"/>
      <c r="C331" s="4"/>
      <c r="D331" s="8"/>
      <c r="E331" s="25">
        <f t="shared" si="67"/>
      </c>
      <c r="F331" s="24"/>
      <c r="G331" s="169">
        <f>IF(ISBLANK(B331),"",VLOOKUP(B331,'Imputed Interest Rates'!A$2:H$99,8))</f>
      </c>
      <c r="H331" s="2"/>
      <c r="I331" s="94"/>
      <c r="J331" s="109" t="str">
        <f t="shared" si="68"/>
        <v> </v>
      </c>
      <c r="K331" s="113" t="str">
        <f t="shared" si="69"/>
        <v> </v>
      </c>
    </row>
    <row r="332" spans="1:11" ht="14.25">
      <c r="A332" s="124"/>
      <c r="B332" s="142"/>
      <c r="C332" s="9"/>
      <c r="D332" s="10"/>
      <c r="E332" s="26">
        <f t="shared" si="67"/>
      </c>
      <c r="F332" s="27"/>
      <c r="G332" s="169">
        <f>IF(ISBLANK(B332),"",VLOOKUP(B332,'Imputed Interest Rates'!A$2:H$99,8))</f>
      </c>
      <c r="H332" s="42"/>
      <c r="I332" s="95"/>
      <c r="J332" s="114" t="str">
        <f t="shared" si="68"/>
        <v> </v>
      </c>
      <c r="K332" s="115" t="str">
        <f t="shared" si="69"/>
        <v> </v>
      </c>
    </row>
    <row r="333" spans="1:11" ht="14.25">
      <c r="A333" s="96" t="s">
        <v>20</v>
      </c>
      <c r="B333" s="143"/>
      <c r="C333" s="97"/>
      <c r="D333" s="98"/>
      <c r="E333" s="25">
        <f>IF(ISNUMBER(E327),SUM(E327:E332),"")</f>
      </c>
      <c r="F333" s="29"/>
      <c r="G333" s="135">
        <f>IF(ISNUMBER(G327),ROUND(SUMPRODUCT(G327:G332,E327:E332)/E333,5),"")</f>
      </c>
      <c r="H333" s="43">
        <f>IF(ISNUMBER(H327),SUMPRODUCT(H327:H332,E327:E332)/E333,"")</f>
      </c>
      <c r="I333" s="119"/>
      <c r="J333" s="109" t="str">
        <f>IF(ISNUMBER(H333),PMT(($G333/12),($H333*12),-(E333))," ")</f>
        <v> </v>
      </c>
      <c r="K333" s="112" t="str">
        <f>IF(ISNUMBER($I333),IF($C333&lt;EffectiveDate-(365*2),0,PMT(($H333/12),($I333*12),-($G333*0.7)))," ")</f>
        <v> </v>
      </c>
    </row>
    <row r="334" spans="1:11" ht="14.25">
      <c r="A334" s="99" t="s">
        <v>21</v>
      </c>
      <c r="B334" s="144"/>
      <c r="C334" s="100"/>
      <c r="D334" s="100"/>
      <c r="E334" s="28">
        <f>IF(ISNUMBER(E333),$F$23+E333,"")</f>
      </c>
      <c r="F334" s="110">
        <f>IF(ISNUMBER(#REF!),G333+$F$23,"")</f>
      </c>
      <c r="G334" s="136">
        <f>IF(ISNUMBER(G333),ROUND((E333*G333+$F$23*$G$18)/($E334),5),"")</f>
      </c>
      <c r="H334" s="44">
        <f>IF(ISNUMBER(H333),ROUND((H333*E333+$F$23*$H$18)/$E334,0),"")</f>
      </c>
      <c r="I334" s="28"/>
      <c r="J334" s="111" t="str">
        <f>IF(ISNUMBER(H334),PMT(($G334/12),($H335*12),-(E334))," ")</f>
        <v> </v>
      </c>
      <c r="K334" s="113"/>
    </row>
    <row r="335" spans="1:11" ht="71.25" customHeight="1">
      <c r="A335" s="101"/>
      <c r="B335" s="145"/>
      <c r="C335" s="102"/>
      <c r="D335" s="103"/>
      <c r="E335" s="104"/>
      <c r="F335" s="183" t="s">
        <v>26</v>
      </c>
      <c r="G335" s="184"/>
      <c r="H335" s="161">
        <f>H334</f>
      </c>
      <c r="I335" s="105" t="s">
        <v>22</v>
      </c>
      <c r="J335" s="116">
        <f>IF(ISNUMBER(E325),J334/E325,"")</f>
      </c>
      <c r="K335" s="153" t="str">
        <f>_xlfn.CONCAT("If percent increase is more than 10%, increase amortization period in cell ",ADDRESS(ROW(),8,4)," until percent increase is not more than 10%")</f>
        <v>If percent increase is more than 10%, increase amortization period in cell H335 until percent increase is not more than 10%</v>
      </c>
    </row>
    <row r="336" spans="1:11" ht="15.75" customHeight="1">
      <c r="A336" s="117"/>
      <c r="B336" s="117"/>
      <c r="C336" s="81"/>
      <c r="D336" s="82"/>
      <c r="E336" s="83"/>
      <c r="F336" s="83"/>
      <c r="G336" s="84"/>
      <c r="H336" s="85"/>
      <c r="I336" s="86"/>
      <c r="J336" s="86"/>
      <c r="K336" s="86"/>
    </row>
    <row r="337" spans="1:11" ht="14.25">
      <c r="A337" s="87" t="s">
        <v>19</v>
      </c>
      <c r="B337" s="93"/>
      <c r="C337" s="88"/>
      <c r="D337" s="87" t="s">
        <v>6</v>
      </c>
      <c r="E337" s="89"/>
      <c r="F337" s="90"/>
      <c r="G337" s="91"/>
      <c r="H337" s="91"/>
      <c r="I337" s="92"/>
      <c r="J337" s="92"/>
      <c r="K337" s="93"/>
    </row>
    <row r="338" spans="1:11" ht="64.5">
      <c r="A338" s="128" t="s">
        <v>0</v>
      </c>
      <c r="B338" s="125" t="s">
        <v>28</v>
      </c>
      <c r="C338" s="133" t="s">
        <v>1</v>
      </c>
      <c r="D338" s="128" t="s">
        <v>30</v>
      </c>
      <c r="E338" s="125" t="s">
        <v>24</v>
      </c>
      <c r="F338" s="125"/>
      <c r="G338" s="128" t="s">
        <v>14</v>
      </c>
      <c r="H338" s="127" t="s">
        <v>16</v>
      </c>
      <c r="I338" s="128"/>
      <c r="J338" s="125" t="s">
        <v>15</v>
      </c>
      <c r="K338" s="129" t="s">
        <v>10</v>
      </c>
    </row>
    <row r="339" spans="1:11" ht="14.25">
      <c r="A339" s="32"/>
      <c r="B339" s="147"/>
      <c r="C339" s="13"/>
      <c r="D339" s="12"/>
      <c r="E339" s="25">
        <f aca="true" t="shared" si="70" ref="E339:E344">IF(ISBLANK(D339),"",IF(C339&lt;PetitionDate-(365*2),0,D339*0.7))</f>
      </c>
      <c r="F339" s="24"/>
      <c r="G339" s="169">
        <f>IF(ISBLANK(B339),"",VLOOKUP(B339,'Imputed Interest Rates'!A$2:H$99,8))</f>
      </c>
      <c r="H339" s="11"/>
      <c r="I339" s="94"/>
      <c r="J339" s="109" t="str">
        <f aca="true" t="shared" si="71" ref="J339:J344">IF(ISNUMBER(H339),IF(C339&lt;EffectiveDate-(365*2),0,PMT(($G339/12),($H339*12),-(E339)))," ")</f>
        <v> </v>
      </c>
      <c r="K339" s="112" t="str">
        <f aca="true" t="shared" si="72" ref="K339:K344">IF(ISBLANK(C339)," ",IF(C339&lt;PetitionDate-(365*2),"Not timely","OK"))</f>
        <v> </v>
      </c>
    </row>
    <row r="340" spans="1:11" ht="14.25">
      <c r="A340" s="32"/>
      <c r="B340" s="155"/>
      <c r="C340" s="4"/>
      <c r="D340" s="8"/>
      <c r="E340" s="25">
        <f t="shared" si="70"/>
      </c>
      <c r="F340" s="24"/>
      <c r="G340" s="169">
        <f>IF(ISBLANK(B340),"",VLOOKUP(B340,'Imputed Interest Rates'!A$2:H$99,8))</f>
      </c>
      <c r="H340" s="2"/>
      <c r="I340" s="94"/>
      <c r="J340" s="109" t="str">
        <f t="shared" si="71"/>
        <v> </v>
      </c>
      <c r="K340" s="113" t="str">
        <f t="shared" si="72"/>
        <v> </v>
      </c>
    </row>
    <row r="341" spans="1:11" ht="14.25">
      <c r="A341" s="32"/>
      <c r="B341" s="138"/>
      <c r="C341" s="4"/>
      <c r="D341" s="8"/>
      <c r="E341" s="25">
        <f t="shared" si="70"/>
      </c>
      <c r="F341" s="24"/>
      <c r="G341" s="169">
        <f>IF(ISBLANK(B341),"",VLOOKUP(B341,'Imputed Interest Rates'!A$2:H$99,8))</f>
      </c>
      <c r="H341" s="2"/>
      <c r="I341" s="94"/>
      <c r="J341" s="109" t="str">
        <f t="shared" si="71"/>
        <v> </v>
      </c>
      <c r="K341" s="113" t="str">
        <f t="shared" si="72"/>
        <v> </v>
      </c>
    </row>
    <row r="342" spans="1:11" ht="14.25">
      <c r="A342" s="32"/>
      <c r="B342" s="138"/>
      <c r="C342" s="4"/>
      <c r="D342" s="8"/>
      <c r="E342" s="25">
        <f t="shared" si="70"/>
      </c>
      <c r="F342" s="24"/>
      <c r="G342" s="169">
        <f>IF(ISBLANK(B342),"",VLOOKUP(B342,'Imputed Interest Rates'!A$2:H$99,8))</f>
      </c>
      <c r="H342" s="2"/>
      <c r="I342" s="94"/>
      <c r="J342" s="109" t="str">
        <f t="shared" si="71"/>
        <v> </v>
      </c>
      <c r="K342" s="113" t="str">
        <f t="shared" si="72"/>
        <v> </v>
      </c>
    </row>
    <row r="343" spans="1:11" ht="14.25">
      <c r="A343" s="32"/>
      <c r="B343" s="138"/>
      <c r="C343" s="4"/>
      <c r="D343" s="8"/>
      <c r="E343" s="25">
        <f t="shared" si="70"/>
      </c>
      <c r="F343" s="24"/>
      <c r="G343" s="169">
        <f>IF(ISBLANK(B343),"",VLOOKUP(B343,'Imputed Interest Rates'!A$2:H$99,8))</f>
      </c>
      <c r="H343" s="2"/>
      <c r="I343" s="94"/>
      <c r="J343" s="109" t="str">
        <f t="shared" si="71"/>
        <v> </v>
      </c>
      <c r="K343" s="113" t="str">
        <f t="shared" si="72"/>
        <v> </v>
      </c>
    </row>
    <row r="344" spans="1:11" ht="14.25">
      <c r="A344" s="124"/>
      <c r="B344" s="142"/>
      <c r="C344" s="9"/>
      <c r="D344" s="10"/>
      <c r="E344" s="26">
        <f t="shared" si="70"/>
      </c>
      <c r="F344" s="27"/>
      <c r="G344" s="169">
        <f>IF(ISBLANK(B344),"",VLOOKUP(B344,'Imputed Interest Rates'!A$2:H$99,8))</f>
      </c>
      <c r="H344" s="42"/>
      <c r="I344" s="95"/>
      <c r="J344" s="114" t="str">
        <f t="shared" si="71"/>
        <v> </v>
      </c>
      <c r="K344" s="115" t="str">
        <f t="shared" si="72"/>
        <v> </v>
      </c>
    </row>
    <row r="345" spans="1:11" ht="14.25">
      <c r="A345" s="96" t="s">
        <v>20</v>
      </c>
      <c r="B345" s="143"/>
      <c r="C345" s="97"/>
      <c r="D345" s="98"/>
      <c r="E345" s="25">
        <f>IF(ISNUMBER(E339),SUM(E339:E344),"")</f>
      </c>
      <c r="F345" s="29"/>
      <c r="G345" s="135">
        <f>IF(ISNUMBER(G339),ROUND(SUMPRODUCT(G339:G344,E339:E344)/E345,5),"")</f>
      </c>
      <c r="H345" s="43">
        <f>IF(ISNUMBER(H339),SUMPRODUCT(H339:H344,E339:E344)/E345,"")</f>
      </c>
      <c r="I345" s="119"/>
      <c r="J345" s="109" t="str">
        <f>IF(ISNUMBER(H345),PMT(($G345/12),($H345*12),-(E345))," ")</f>
        <v> </v>
      </c>
      <c r="K345" s="112" t="str">
        <f>IF(ISNUMBER($I345),IF($C345&lt;EffectiveDate-(365*2),0,PMT(($H345/12),($I345*12),-($G345*0.7)))," ")</f>
        <v> </v>
      </c>
    </row>
    <row r="346" spans="1:11" ht="14.25">
      <c r="A346" s="99" t="s">
        <v>21</v>
      </c>
      <c r="B346" s="144"/>
      <c r="C346" s="100"/>
      <c r="D346" s="100"/>
      <c r="E346" s="28">
        <f>IF(ISNUMBER(E345),$F$23+E345,"")</f>
      </c>
      <c r="F346" s="110">
        <f>IF(ISNUMBER(#REF!),G345+$F$23,"")</f>
      </c>
      <c r="G346" s="136">
        <f>IF(ISNUMBER(G345),ROUND((E345*G345+$F$23*$G$18)/($E346),5),"")</f>
      </c>
      <c r="H346" s="44">
        <f>IF(ISNUMBER(H345),ROUND((H345*E345+$F$23*$H$18)/$E346,0),"")</f>
      </c>
      <c r="I346" s="28"/>
      <c r="J346" s="111" t="str">
        <f>IF(ISNUMBER(H346),PMT(($G346/12),($H347*12),-(E346))," ")</f>
        <v> </v>
      </c>
      <c r="K346" s="113"/>
    </row>
    <row r="347" spans="1:11" ht="72">
      <c r="A347" s="101"/>
      <c r="B347" s="145"/>
      <c r="C347" s="102"/>
      <c r="D347" s="103"/>
      <c r="E347" s="104"/>
      <c r="F347" s="183" t="s">
        <v>26</v>
      </c>
      <c r="G347" s="184"/>
      <c r="H347" s="161">
        <f>H346</f>
      </c>
      <c r="I347" s="105" t="s">
        <v>22</v>
      </c>
      <c r="J347" s="116">
        <f>IF(ISNUMBER(E337),J346/E337,"")</f>
      </c>
      <c r="K347" s="153" t="str">
        <f>_xlfn.CONCAT("If percent increase is more than 10%, increase amortization period in cell ",ADDRESS(ROW(),8,4)," until percent increase is not more than 10%")</f>
        <v>If percent increase is more than 10%, increase amortization period in cell H347 until percent increase is not more than 10%</v>
      </c>
    </row>
    <row r="350" spans="1:11" ht="14.25">
      <c r="A350" s="45" t="s">
        <v>12</v>
      </c>
      <c r="B350" s="137"/>
      <c r="C350" s="75"/>
      <c r="D350" s="76"/>
      <c r="E350" s="77"/>
      <c r="F350" s="77"/>
      <c r="G350" s="78"/>
      <c r="H350" s="79"/>
      <c r="I350" s="80"/>
      <c r="J350" s="80"/>
      <c r="K350" s="80"/>
    </row>
    <row r="351" spans="1:11" ht="14.25">
      <c r="A351" s="87" t="s">
        <v>19</v>
      </c>
      <c r="B351" s="93"/>
      <c r="C351" s="88"/>
      <c r="D351" s="87" t="s">
        <v>6</v>
      </c>
      <c r="E351" s="89"/>
      <c r="F351" s="90"/>
      <c r="G351" s="91"/>
      <c r="H351" s="91"/>
      <c r="I351" s="92"/>
      <c r="J351" s="92"/>
      <c r="K351" s="93"/>
    </row>
    <row r="352" spans="1:11" ht="64.5">
      <c r="A352" s="128" t="s">
        <v>0</v>
      </c>
      <c r="B352" s="125" t="s">
        <v>28</v>
      </c>
      <c r="C352" s="133" t="s">
        <v>1</v>
      </c>
      <c r="D352" s="128" t="s">
        <v>30</v>
      </c>
      <c r="E352" s="125" t="s">
        <v>24</v>
      </c>
      <c r="F352" s="125"/>
      <c r="G352" s="128" t="s">
        <v>14</v>
      </c>
      <c r="H352" s="127" t="s">
        <v>16</v>
      </c>
      <c r="I352" s="128"/>
      <c r="J352" s="125" t="s">
        <v>15</v>
      </c>
      <c r="K352" s="129" t="s">
        <v>10</v>
      </c>
    </row>
    <row r="353" spans="1:11" ht="14.25">
      <c r="A353" s="32"/>
      <c r="B353" s="147"/>
      <c r="C353" s="13"/>
      <c r="D353" s="12"/>
      <c r="E353" s="25">
        <f aca="true" t="shared" si="73" ref="E353:E358">IF(ISBLANK(D353),"",IF(C353&lt;PetitionDate-(365*2),0,D353*0.7))</f>
      </c>
      <c r="F353" s="24"/>
      <c r="G353" s="169">
        <f>IF(ISBLANK(B353),"",VLOOKUP(B353,'Imputed Interest Rates'!A$2:H$99,8))</f>
      </c>
      <c r="H353" s="11"/>
      <c r="I353" s="94"/>
      <c r="J353" s="109" t="str">
        <f aca="true" t="shared" si="74" ref="J353:J358">IF(ISNUMBER(H353),IF(C353&lt;EffectiveDate-(365*2),0,PMT(($G353/12),($H353*12),-(E353)))," ")</f>
        <v> </v>
      </c>
      <c r="K353" s="112" t="str">
        <f aca="true" t="shared" si="75" ref="K353:K358">IF(ISBLANK(C353)," ",IF(C353&lt;PetitionDate-(365*2),"Not timely","OK"))</f>
        <v> </v>
      </c>
    </row>
    <row r="354" spans="1:11" ht="14.25">
      <c r="A354" s="32"/>
      <c r="B354" s="155"/>
      <c r="C354" s="4"/>
      <c r="D354" s="8"/>
      <c r="E354" s="25">
        <f t="shared" si="73"/>
      </c>
      <c r="F354" s="24"/>
      <c r="G354" s="169">
        <f>IF(ISBLANK(B354),"",VLOOKUP(B354,'Imputed Interest Rates'!A$2:H$99,8))</f>
      </c>
      <c r="H354" s="2"/>
      <c r="I354" s="94"/>
      <c r="J354" s="109" t="str">
        <f t="shared" si="74"/>
        <v> </v>
      </c>
      <c r="K354" s="113" t="str">
        <f t="shared" si="75"/>
        <v> </v>
      </c>
    </row>
    <row r="355" spans="1:11" ht="14.25">
      <c r="A355" s="32"/>
      <c r="B355" s="138"/>
      <c r="C355" s="4"/>
      <c r="D355" s="8"/>
      <c r="E355" s="25">
        <f t="shared" si="73"/>
      </c>
      <c r="F355" s="24"/>
      <c r="G355" s="169">
        <f>IF(ISBLANK(B355),"",VLOOKUP(B355,'Imputed Interest Rates'!A$2:H$99,8))</f>
      </c>
      <c r="H355" s="2"/>
      <c r="I355" s="94"/>
      <c r="J355" s="109" t="str">
        <f t="shared" si="74"/>
        <v> </v>
      </c>
      <c r="K355" s="113" t="str">
        <f t="shared" si="75"/>
        <v> </v>
      </c>
    </row>
    <row r="356" spans="1:11" ht="14.25">
      <c r="A356" s="32"/>
      <c r="B356" s="138"/>
      <c r="C356" s="4"/>
      <c r="D356" s="8"/>
      <c r="E356" s="25">
        <f t="shared" si="73"/>
      </c>
      <c r="F356" s="24"/>
      <c r="G356" s="169">
        <f>IF(ISBLANK(B356),"",VLOOKUP(B356,'Imputed Interest Rates'!A$2:H$99,8))</f>
      </c>
      <c r="H356" s="2"/>
      <c r="I356" s="94"/>
      <c r="J356" s="109" t="str">
        <f t="shared" si="74"/>
        <v> </v>
      </c>
      <c r="K356" s="113" t="str">
        <f t="shared" si="75"/>
        <v> </v>
      </c>
    </row>
    <row r="357" spans="1:11" ht="14.25">
      <c r="A357" s="32"/>
      <c r="B357" s="138"/>
      <c r="C357" s="4"/>
      <c r="D357" s="8"/>
      <c r="E357" s="25">
        <f t="shared" si="73"/>
      </c>
      <c r="F357" s="24"/>
      <c r="G357" s="169">
        <f>IF(ISBLANK(B357),"",VLOOKUP(B357,'Imputed Interest Rates'!A$2:H$99,8))</f>
      </c>
      <c r="H357" s="2"/>
      <c r="I357" s="94"/>
      <c r="J357" s="109" t="str">
        <f t="shared" si="74"/>
        <v> </v>
      </c>
      <c r="K357" s="113" t="str">
        <f t="shared" si="75"/>
        <v> </v>
      </c>
    </row>
    <row r="358" spans="1:11" ht="14.25">
      <c r="A358" s="124"/>
      <c r="B358" s="142"/>
      <c r="C358" s="9"/>
      <c r="D358" s="10"/>
      <c r="E358" s="26">
        <f t="shared" si="73"/>
      </c>
      <c r="F358" s="27"/>
      <c r="G358" s="169">
        <f>IF(ISBLANK(B358),"",VLOOKUP(B358,'Imputed Interest Rates'!A$2:H$99,8))</f>
      </c>
      <c r="H358" s="42"/>
      <c r="I358" s="95"/>
      <c r="J358" s="114" t="str">
        <f t="shared" si="74"/>
        <v> </v>
      </c>
      <c r="K358" s="115" t="str">
        <f t="shared" si="75"/>
        <v> </v>
      </c>
    </row>
    <row r="359" spans="1:11" ht="14.25">
      <c r="A359" s="96" t="s">
        <v>20</v>
      </c>
      <c r="B359" s="143"/>
      <c r="C359" s="97"/>
      <c r="D359" s="98"/>
      <c r="E359" s="25">
        <f>IF(ISNUMBER(E353),SUM(E353:E358),"")</f>
      </c>
      <c r="F359" s="29"/>
      <c r="G359" s="135">
        <f>IF(ISNUMBER(G353),ROUND(SUMPRODUCT(G353:G358,E353:E358)/E359,5),"")</f>
      </c>
      <c r="H359" s="43">
        <f>IF(ISNUMBER(H353),SUMPRODUCT(H353:H358,E353:E358)/E359,"")</f>
      </c>
      <c r="I359" s="119"/>
      <c r="J359" s="109" t="str">
        <f>IF(ISNUMBER(H359),PMT(($G359/12),($H359*12),-(E359))," ")</f>
        <v> </v>
      </c>
      <c r="K359" s="112" t="str">
        <f>IF(ISNUMBER($I359),IF($C359&lt;EffectiveDate-(365*2),0,PMT(($H359/12),($I359*12),-($G359*0.7)))," ")</f>
        <v> </v>
      </c>
    </row>
    <row r="360" spans="1:11" ht="14.25">
      <c r="A360" s="99" t="s">
        <v>21</v>
      </c>
      <c r="B360" s="144"/>
      <c r="C360" s="100"/>
      <c r="D360" s="100"/>
      <c r="E360" s="28">
        <f>IF(ISNUMBER(E359),$F$23+E359,"")</f>
      </c>
      <c r="F360" s="110">
        <f>IF(ISNUMBER(#REF!),G359+$F$23,"")</f>
      </c>
      <c r="G360" s="136">
        <f>IF(ISNUMBER(G359),ROUND((E359*G359+$F$23*$G$18)/($E360),5),"")</f>
      </c>
      <c r="H360" s="44">
        <f>IF(ISNUMBER(H359),ROUND((H359*E359+$F$23*$H$18)/$E360,0),"")</f>
      </c>
      <c r="I360" s="28"/>
      <c r="J360" s="111" t="str">
        <f>IF(ISNUMBER(H360),PMT(($G360/12),($H361*12),-(E360))," ")</f>
        <v> </v>
      </c>
      <c r="K360" s="113"/>
    </row>
    <row r="361" spans="1:11" ht="71.25" customHeight="1">
      <c r="A361" s="101"/>
      <c r="B361" s="145"/>
      <c r="C361" s="102"/>
      <c r="D361" s="103"/>
      <c r="E361" s="104"/>
      <c r="F361" s="183" t="s">
        <v>26</v>
      </c>
      <c r="G361" s="184"/>
      <c r="H361" s="161">
        <f>H360</f>
      </c>
      <c r="I361" s="105" t="s">
        <v>22</v>
      </c>
      <c r="J361" s="116">
        <f>IF(ISNUMBER(E351),J360/E351,"")</f>
      </c>
      <c r="K361" s="153" t="str">
        <f>_xlfn.CONCAT("If percent increase is more than 10%, increase amortization period in cell ",ADDRESS(ROW(),8,4)," until percent increase is not more than 10%")</f>
        <v>If percent increase is more than 10%, increase amortization period in cell H361 until percent increase is not more than 10%</v>
      </c>
    </row>
    <row r="362" spans="1:11" ht="15.75" customHeight="1">
      <c r="A362" s="117"/>
      <c r="B362" s="117"/>
      <c r="C362" s="81"/>
      <c r="D362" s="82"/>
      <c r="E362" s="83"/>
      <c r="F362" s="83"/>
      <c r="G362" s="84"/>
      <c r="H362" s="85"/>
      <c r="I362" s="86"/>
      <c r="J362" s="86"/>
      <c r="K362" s="86"/>
    </row>
    <row r="363" spans="1:11" ht="14.25">
      <c r="A363" s="87" t="s">
        <v>19</v>
      </c>
      <c r="B363" s="93"/>
      <c r="C363" s="88"/>
      <c r="D363" s="87" t="s">
        <v>6</v>
      </c>
      <c r="E363" s="89"/>
      <c r="F363" s="90"/>
      <c r="G363" s="91"/>
      <c r="H363" s="91"/>
      <c r="I363" s="92"/>
      <c r="J363" s="92"/>
      <c r="K363" s="93"/>
    </row>
    <row r="364" spans="1:11" ht="64.5">
      <c r="A364" s="128" t="s">
        <v>0</v>
      </c>
      <c r="B364" s="125" t="s">
        <v>28</v>
      </c>
      <c r="C364" s="133" t="s">
        <v>1</v>
      </c>
      <c r="D364" s="128" t="s">
        <v>30</v>
      </c>
      <c r="E364" s="125" t="s">
        <v>24</v>
      </c>
      <c r="F364" s="125"/>
      <c r="G364" s="128" t="s">
        <v>14</v>
      </c>
      <c r="H364" s="127" t="s">
        <v>16</v>
      </c>
      <c r="I364" s="128"/>
      <c r="J364" s="125" t="s">
        <v>15</v>
      </c>
      <c r="K364" s="129" t="s">
        <v>10</v>
      </c>
    </row>
    <row r="365" spans="1:11" ht="14.25">
      <c r="A365" s="32"/>
      <c r="B365" s="147"/>
      <c r="C365" s="13"/>
      <c r="D365" s="12"/>
      <c r="E365" s="25">
        <f aca="true" t="shared" si="76" ref="E365:E370">IF(ISBLANK(D365),"",IF(C365&lt;PetitionDate-(365*2),0,D365*0.7))</f>
      </c>
      <c r="F365" s="24"/>
      <c r="G365" s="169">
        <f>IF(ISBLANK(B365),"",VLOOKUP(B365,'Imputed Interest Rates'!A$2:H$99,8))</f>
      </c>
      <c r="H365" s="11"/>
      <c r="I365" s="94"/>
      <c r="J365" s="109" t="str">
        <f aca="true" t="shared" si="77" ref="J365:J370">IF(ISNUMBER(H365),IF(C365&lt;EffectiveDate-(365*2),0,PMT(($G365/12),($H365*12),-(E365)))," ")</f>
        <v> </v>
      </c>
      <c r="K365" s="112" t="str">
        <f aca="true" t="shared" si="78" ref="K365:K370">IF(ISBLANK(C365)," ",IF(C365&lt;PetitionDate-(365*2),"Not timely","OK"))</f>
        <v> </v>
      </c>
    </row>
    <row r="366" spans="1:11" ht="14.25">
      <c r="A366" s="32"/>
      <c r="B366" s="155"/>
      <c r="C366" s="4"/>
      <c r="D366" s="8"/>
      <c r="E366" s="25">
        <f t="shared" si="76"/>
      </c>
      <c r="F366" s="24"/>
      <c r="G366" s="169">
        <f>IF(ISBLANK(B366),"",VLOOKUP(B366,'Imputed Interest Rates'!A$2:H$99,8))</f>
      </c>
      <c r="H366" s="2"/>
      <c r="I366" s="94"/>
      <c r="J366" s="109" t="str">
        <f t="shared" si="77"/>
        <v> </v>
      </c>
      <c r="K366" s="113" t="str">
        <f t="shared" si="78"/>
        <v> </v>
      </c>
    </row>
    <row r="367" spans="1:11" ht="14.25">
      <c r="A367" s="32"/>
      <c r="B367" s="138"/>
      <c r="C367" s="4"/>
      <c r="D367" s="8"/>
      <c r="E367" s="25">
        <f t="shared" si="76"/>
      </c>
      <c r="F367" s="24"/>
      <c r="G367" s="169">
        <f>IF(ISBLANK(B367),"",VLOOKUP(B367,'Imputed Interest Rates'!A$2:H$99,8))</f>
      </c>
      <c r="H367" s="2"/>
      <c r="I367" s="94"/>
      <c r="J367" s="109" t="str">
        <f t="shared" si="77"/>
        <v> </v>
      </c>
      <c r="K367" s="113" t="str">
        <f t="shared" si="78"/>
        <v> </v>
      </c>
    </row>
    <row r="368" spans="1:11" ht="14.25">
      <c r="A368" s="32"/>
      <c r="B368" s="138"/>
      <c r="C368" s="4"/>
      <c r="D368" s="8"/>
      <c r="E368" s="25">
        <f t="shared" si="76"/>
      </c>
      <c r="F368" s="24"/>
      <c r="G368" s="169">
        <f>IF(ISBLANK(B368),"",VLOOKUP(B368,'Imputed Interest Rates'!A$2:H$99,8))</f>
      </c>
      <c r="H368" s="2"/>
      <c r="I368" s="94"/>
      <c r="J368" s="109" t="str">
        <f t="shared" si="77"/>
        <v> </v>
      </c>
      <c r="K368" s="113" t="str">
        <f t="shared" si="78"/>
        <v> </v>
      </c>
    </row>
    <row r="369" spans="1:11" ht="14.25">
      <c r="A369" s="32"/>
      <c r="B369" s="138"/>
      <c r="C369" s="4"/>
      <c r="D369" s="8"/>
      <c r="E369" s="25">
        <f t="shared" si="76"/>
      </c>
      <c r="F369" s="24"/>
      <c r="G369" s="169">
        <f>IF(ISBLANK(B369),"",VLOOKUP(B369,'Imputed Interest Rates'!A$2:H$99,8))</f>
      </c>
      <c r="H369" s="2"/>
      <c r="I369" s="94"/>
      <c r="J369" s="109" t="str">
        <f t="shared" si="77"/>
        <v> </v>
      </c>
      <c r="K369" s="113" t="str">
        <f t="shared" si="78"/>
        <v> </v>
      </c>
    </row>
    <row r="370" spans="1:11" ht="14.25">
      <c r="A370" s="124"/>
      <c r="B370" s="142"/>
      <c r="C370" s="9"/>
      <c r="D370" s="10"/>
      <c r="E370" s="26">
        <f t="shared" si="76"/>
      </c>
      <c r="F370" s="27"/>
      <c r="G370" s="169">
        <f>IF(ISBLANK(B370),"",VLOOKUP(B370,'Imputed Interest Rates'!A$2:H$99,8))</f>
      </c>
      <c r="H370" s="42"/>
      <c r="I370" s="95"/>
      <c r="J370" s="114" t="str">
        <f t="shared" si="77"/>
        <v> </v>
      </c>
      <c r="K370" s="115" t="str">
        <f t="shared" si="78"/>
        <v> </v>
      </c>
    </row>
    <row r="371" spans="1:11" ht="14.25">
      <c r="A371" s="96" t="s">
        <v>20</v>
      </c>
      <c r="B371" s="143"/>
      <c r="C371" s="97"/>
      <c r="D371" s="98"/>
      <c r="E371" s="25">
        <f>IF(ISNUMBER(E365),SUM(E365:E370),"")</f>
      </c>
      <c r="F371" s="29"/>
      <c r="G371" s="135">
        <f>IF(ISNUMBER(G365),ROUND(SUMPRODUCT(G365:G370,E365:E370)/E371,5),"")</f>
      </c>
      <c r="H371" s="43">
        <f>IF(ISNUMBER(H365),SUMPRODUCT(H365:H370,E365:E370)/E371,"")</f>
      </c>
      <c r="I371" s="119"/>
      <c r="J371" s="109" t="str">
        <f>IF(ISNUMBER(H371),PMT(($G371/12),($H371*12),-(E371))," ")</f>
        <v> </v>
      </c>
      <c r="K371" s="112" t="str">
        <f>IF(ISNUMBER($I371),IF($C371&lt;EffectiveDate-(365*2),0,PMT(($H371/12),($I371*12),-($G371*0.7)))," ")</f>
        <v> </v>
      </c>
    </row>
    <row r="372" spans="1:11" ht="14.25">
      <c r="A372" s="99" t="s">
        <v>21</v>
      </c>
      <c r="B372" s="144"/>
      <c r="C372" s="100"/>
      <c r="D372" s="100"/>
      <c r="E372" s="28">
        <f>IF(ISNUMBER(E371),$F$23+E371,"")</f>
      </c>
      <c r="F372" s="110">
        <f>IF(ISNUMBER(#REF!),G371+$F$23,"")</f>
      </c>
      <c r="G372" s="136">
        <f>IF(ISNUMBER(G371),ROUND((E371*G371+$F$23*$G$18)/($E372),5),"")</f>
      </c>
      <c r="H372" s="44">
        <f>IF(ISNUMBER(H371),ROUND((H371*E371+$F$23*$H$18)/$E372,0),"")</f>
      </c>
      <c r="I372" s="28"/>
      <c r="J372" s="111" t="str">
        <f>IF(ISNUMBER(H372),PMT(($G372/12),($H373*12),-(E372))," ")</f>
        <v> </v>
      </c>
      <c r="K372" s="113"/>
    </row>
    <row r="373" spans="1:11" ht="72">
      <c r="A373" s="101"/>
      <c r="B373" s="145"/>
      <c r="C373" s="102"/>
      <c r="D373" s="103"/>
      <c r="E373" s="104"/>
      <c r="F373" s="183" t="s">
        <v>26</v>
      </c>
      <c r="G373" s="184"/>
      <c r="H373" s="161">
        <f>H372</f>
      </c>
      <c r="I373" s="105" t="s">
        <v>22</v>
      </c>
      <c r="J373" s="116">
        <f>IF(ISNUMBER(E363),J372/E363,"")</f>
      </c>
      <c r="K373" s="153" t="str">
        <f>_xlfn.CONCAT("If percent increase is more than 10%, increase amortization period in cell ",ADDRESS(ROW(),8,4)," until percent increase is not more than 10%")</f>
        <v>If percent increase is more than 10%, increase amortization period in cell H373 until percent increase is not more than 10%</v>
      </c>
    </row>
    <row r="376" spans="1:11" ht="14.25">
      <c r="A376" s="45" t="s">
        <v>12</v>
      </c>
      <c r="B376" s="137"/>
      <c r="C376" s="75"/>
      <c r="D376" s="76"/>
      <c r="E376" s="77"/>
      <c r="F376" s="77"/>
      <c r="G376" s="78"/>
      <c r="H376" s="79"/>
      <c r="I376" s="80"/>
      <c r="J376" s="80"/>
      <c r="K376" s="80"/>
    </row>
    <row r="377" spans="1:11" ht="14.25">
      <c r="A377" s="87" t="s">
        <v>19</v>
      </c>
      <c r="B377" s="93"/>
      <c r="C377" s="88"/>
      <c r="D377" s="87" t="s">
        <v>6</v>
      </c>
      <c r="E377" s="89"/>
      <c r="F377" s="90"/>
      <c r="G377" s="91"/>
      <c r="H377" s="91"/>
      <c r="I377" s="92"/>
      <c r="J377" s="92"/>
      <c r="K377" s="93"/>
    </row>
    <row r="378" spans="1:11" ht="64.5">
      <c r="A378" s="128" t="s">
        <v>0</v>
      </c>
      <c r="B378" s="125" t="s">
        <v>28</v>
      </c>
      <c r="C378" s="133" t="s">
        <v>1</v>
      </c>
      <c r="D378" s="128" t="s">
        <v>30</v>
      </c>
      <c r="E378" s="125" t="s">
        <v>24</v>
      </c>
      <c r="F378" s="125"/>
      <c r="G378" s="128" t="s">
        <v>14</v>
      </c>
      <c r="H378" s="127" t="s">
        <v>16</v>
      </c>
      <c r="I378" s="128"/>
      <c r="J378" s="125" t="s">
        <v>15</v>
      </c>
      <c r="K378" s="129" t="s">
        <v>10</v>
      </c>
    </row>
    <row r="379" spans="1:11" ht="14.25">
      <c r="A379" s="32"/>
      <c r="B379" s="147"/>
      <c r="C379" s="13"/>
      <c r="D379" s="12"/>
      <c r="E379" s="25">
        <f aca="true" t="shared" si="79" ref="E379:E384">IF(ISBLANK(D379),"",IF(C379&lt;PetitionDate-(365*2),0,D379*0.7))</f>
      </c>
      <c r="F379" s="24"/>
      <c r="G379" s="169">
        <f>IF(ISBLANK(B379),"",VLOOKUP(B379,'Imputed Interest Rates'!A$2:H$99,8))</f>
      </c>
      <c r="H379" s="11"/>
      <c r="I379" s="94"/>
      <c r="J379" s="109" t="str">
        <f aca="true" t="shared" si="80" ref="J379:J384">IF(ISNUMBER(H379),IF(C379&lt;EffectiveDate-(365*2),0,PMT(($G379/12),($H379*12),-(E379)))," ")</f>
        <v> </v>
      </c>
      <c r="K379" s="112" t="str">
        <f aca="true" t="shared" si="81" ref="K379:K384">IF(ISBLANK(C379)," ",IF(C379&lt;PetitionDate-(365*2),"Not timely","OK"))</f>
        <v> </v>
      </c>
    </row>
    <row r="380" spans="1:11" ht="14.25">
      <c r="A380" s="32"/>
      <c r="B380" s="155"/>
      <c r="C380" s="4"/>
      <c r="D380" s="8"/>
      <c r="E380" s="25">
        <f t="shared" si="79"/>
      </c>
      <c r="F380" s="24"/>
      <c r="G380" s="169">
        <f>IF(ISBLANK(B380),"",VLOOKUP(B380,'Imputed Interest Rates'!A$2:H$99,8))</f>
      </c>
      <c r="H380" s="2"/>
      <c r="I380" s="94"/>
      <c r="J380" s="109" t="str">
        <f t="shared" si="80"/>
        <v> </v>
      </c>
      <c r="K380" s="113" t="str">
        <f t="shared" si="81"/>
        <v> </v>
      </c>
    </row>
    <row r="381" spans="1:11" ht="14.25">
      <c r="A381" s="32"/>
      <c r="B381" s="138"/>
      <c r="C381" s="4"/>
      <c r="D381" s="8"/>
      <c r="E381" s="25">
        <f t="shared" si="79"/>
      </c>
      <c r="F381" s="24"/>
      <c r="G381" s="169">
        <f>IF(ISBLANK(B381),"",VLOOKUP(B381,'Imputed Interest Rates'!A$2:H$99,8))</f>
      </c>
      <c r="H381" s="2"/>
      <c r="I381" s="94"/>
      <c r="J381" s="109" t="str">
        <f t="shared" si="80"/>
        <v> </v>
      </c>
      <c r="K381" s="113" t="str">
        <f t="shared" si="81"/>
        <v> </v>
      </c>
    </row>
    <row r="382" spans="1:11" ht="14.25">
      <c r="A382" s="32"/>
      <c r="B382" s="138"/>
      <c r="C382" s="4"/>
      <c r="D382" s="8"/>
      <c r="E382" s="25">
        <f t="shared" si="79"/>
      </c>
      <c r="F382" s="24"/>
      <c r="G382" s="169">
        <f>IF(ISBLANK(B382),"",VLOOKUP(B382,'Imputed Interest Rates'!A$2:H$99,8))</f>
      </c>
      <c r="H382" s="2"/>
      <c r="I382" s="94"/>
      <c r="J382" s="109" t="str">
        <f t="shared" si="80"/>
        <v> </v>
      </c>
      <c r="K382" s="113" t="str">
        <f t="shared" si="81"/>
        <v> </v>
      </c>
    </row>
    <row r="383" spans="1:11" ht="14.25">
      <c r="A383" s="32"/>
      <c r="B383" s="138"/>
      <c r="C383" s="4"/>
      <c r="D383" s="8"/>
      <c r="E383" s="25">
        <f t="shared" si="79"/>
      </c>
      <c r="F383" s="24"/>
      <c r="G383" s="169">
        <f>IF(ISBLANK(B383),"",VLOOKUP(B383,'Imputed Interest Rates'!A$2:H$99,8))</f>
      </c>
      <c r="H383" s="2"/>
      <c r="I383" s="94"/>
      <c r="J383" s="109" t="str">
        <f t="shared" si="80"/>
        <v> </v>
      </c>
      <c r="K383" s="113" t="str">
        <f t="shared" si="81"/>
        <v> </v>
      </c>
    </row>
    <row r="384" spans="1:11" ht="14.25">
      <c r="A384" s="124"/>
      <c r="B384" s="142"/>
      <c r="C384" s="9"/>
      <c r="D384" s="10"/>
      <c r="E384" s="26">
        <f t="shared" si="79"/>
      </c>
      <c r="F384" s="27"/>
      <c r="G384" s="169">
        <f>IF(ISBLANK(B384),"",VLOOKUP(B384,'Imputed Interest Rates'!A$2:H$99,8))</f>
      </c>
      <c r="H384" s="42"/>
      <c r="I384" s="95"/>
      <c r="J384" s="114" t="str">
        <f t="shared" si="80"/>
        <v> </v>
      </c>
      <c r="K384" s="115" t="str">
        <f t="shared" si="81"/>
        <v> </v>
      </c>
    </row>
    <row r="385" spans="1:11" ht="14.25">
      <c r="A385" s="96" t="s">
        <v>20</v>
      </c>
      <c r="B385" s="143"/>
      <c r="C385" s="97"/>
      <c r="D385" s="98"/>
      <c r="E385" s="25">
        <f>IF(ISNUMBER(E379),SUM(E379:E384),"")</f>
      </c>
      <c r="F385" s="29"/>
      <c r="G385" s="135">
        <f>IF(ISNUMBER(G379),ROUND(SUMPRODUCT(G379:G384,E379:E384)/E385,5),"")</f>
      </c>
      <c r="H385" s="43">
        <f>IF(ISNUMBER(H379),SUMPRODUCT(H379:H384,E379:E384)/E385,"")</f>
      </c>
      <c r="I385" s="119"/>
      <c r="J385" s="109" t="str">
        <f>IF(ISNUMBER(H385),PMT(($G385/12),($H385*12),-(E385))," ")</f>
        <v> </v>
      </c>
      <c r="K385" s="112" t="str">
        <f>IF(ISNUMBER($I385),IF($C385&lt;EffectiveDate-(365*2),0,PMT(($H385/12),($I385*12),-($G385*0.7)))," ")</f>
        <v> </v>
      </c>
    </row>
    <row r="386" spans="1:11" ht="14.25">
      <c r="A386" s="99" t="s">
        <v>21</v>
      </c>
      <c r="B386" s="144"/>
      <c r="C386" s="100"/>
      <c r="D386" s="100"/>
      <c r="E386" s="28">
        <f>IF(ISNUMBER(E385),$F$23+E385,"")</f>
      </c>
      <c r="F386" s="110">
        <f>IF(ISNUMBER(#REF!),G385+$F$23,"")</f>
      </c>
      <c r="G386" s="136">
        <f>IF(ISNUMBER(G385),ROUND((E385*G385+$F$23*$G$18)/($E386),5),"")</f>
      </c>
      <c r="H386" s="44">
        <f>IF(ISNUMBER(H385),ROUND((H385*E385+$F$23*$H$18)/$E386,0),"")</f>
      </c>
      <c r="I386" s="28"/>
      <c r="J386" s="111" t="str">
        <f>IF(ISNUMBER(H386),PMT(($G386/12),($H387*12),-(E386))," ")</f>
        <v> </v>
      </c>
      <c r="K386" s="113"/>
    </row>
    <row r="387" spans="1:11" ht="71.25" customHeight="1">
      <c r="A387" s="101"/>
      <c r="B387" s="145"/>
      <c r="C387" s="102"/>
      <c r="D387" s="103"/>
      <c r="E387" s="104"/>
      <c r="F387" s="183" t="s">
        <v>26</v>
      </c>
      <c r="G387" s="184"/>
      <c r="H387" s="161">
        <f>H386</f>
      </c>
      <c r="I387" s="105" t="s">
        <v>22</v>
      </c>
      <c r="J387" s="116">
        <f>IF(ISNUMBER(E377),J386/E377,"")</f>
      </c>
      <c r="K387" s="153" t="str">
        <f>_xlfn.CONCAT("If percent increase is more than 10%, increase amortization period in cell ",ADDRESS(ROW(),8,4)," until percent increase is not more than 10%")</f>
        <v>If percent increase is more than 10%, increase amortization period in cell H387 until percent increase is not more than 10%</v>
      </c>
    </row>
    <row r="388" spans="1:11" ht="15.75" customHeight="1">
      <c r="A388" s="117"/>
      <c r="B388" s="117"/>
      <c r="C388" s="81"/>
      <c r="D388" s="82"/>
      <c r="E388" s="83"/>
      <c r="F388" s="83"/>
      <c r="G388" s="84"/>
      <c r="H388" s="85"/>
      <c r="I388" s="86"/>
      <c r="J388" s="86"/>
      <c r="K388" s="86"/>
    </row>
    <row r="389" spans="1:11" ht="14.25">
      <c r="A389" s="87" t="s">
        <v>19</v>
      </c>
      <c r="B389" s="93"/>
      <c r="C389" s="88"/>
      <c r="D389" s="87" t="s">
        <v>6</v>
      </c>
      <c r="E389" s="89"/>
      <c r="F389" s="90"/>
      <c r="G389" s="91"/>
      <c r="H389" s="91"/>
      <c r="I389" s="92"/>
      <c r="J389" s="92"/>
      <c r="K389" s="93"/>
    </row>
    <row r="390" spans="1:11" ht="64.5">
      <c r="A390" s="128" t="s">
        <v>0</v>
      </c>
      <c r="B390" s="125" t="s">
        <v>28</v>
      </c>
      <c r="C390" s="133" t="s">
        <v>1</v>
      </c>
      <c r="D390" s="128" t="s">
        <v>30</v>
      </c>
      <c r="E390" s="125" t="s">
        <v>24</v>
      </c>
      <c r="F390" s="125"/>
      <c r="G390" s="128" t="s">
        <v>14</v>
      </c>
      <c r="H390" s="127" t="s">
        <v>16</v>
      </c>
      <c r="I390" s="128"/>
      <c r="J390" s="125" t="s">
        <v>15</v>
      </c>
      <c r="K390" s="129" t="s">
        <v>10</v>
      </c>
    </row>
    <row r="391" spans="1:11" ht="14.25">
      <c r="A391" s="32"/>
      <c r="B391" s="147"/>
      <c r="C391" s="13"/>
      <c r="D391" s="12"/>
      <c r="E391" s="25">
        <f aca="true" t="shared" si="82" ref="E391:E396">IF(ISBLANK(D391),"",IF(C391&lt;PetitionDate-(365*2),0,D391*0.7))</f>
      </c>
      <c r="F391" s="24"/>
      <c r="G391" s="169">
        <f>IF(ISBLANK(B391),"",VLOOKUP(B391,'Imputed Interest Rates'!A$2:H$99,8))</f>
      </c>
      <c r="H391" s="11"/>
      <c r="I391" s="94"/>
      <c r="J391" s="109" t="str">
        <f aca="true" t="shared" si="83" ref="J391:J396">IF(ISNUMBER(H391),IF(C391&lt;EffectiveDate-(365*2),0,PMT(($G391/12),($H391*12),-(E391)))," ")</f>
        <v> </v>
      </c>
      <c r="K391" s="112" t="str">
        <f aca="true" t="shared" si="84" ref="K391:K396">IF(ISBLANK(C391)," ",IF(C391&lt;PetitionDate-(365*2),"Not timely","OK"))</f>
        <v> </v>
      </c>
    </row>
    <row r="392" spans="1:11" ht="14.25">
      <c r="A392" s="32"/>
      <c r="B392" s="155"/>
      <c r="C392" s="4"/>
      <c r="D392" s="8"/>
      <c r="E392" s="25">
        <f t="shared" si="82"/>
      </c>
      <c r="F392" s="24"/>
      <c r="G392" s="169">
        <f>IF(ISBLANK(B392),"",VLOOKUP(B392,'Imputed Interest Rates'!A$2:H$99,8))</f>
      </c>
      <c r="H392" s="2"/>
      <c r="I392" s="94"/>
      <c r="J392" s="109" t="str">
        <f t="shared" si="83"/>
        <v> </v>
      </c>
      <c r="K392" s="113" t="str">
        <f t="shared" si="84"/>
        <v> </v>
      </c>
    </row>
    <row r="393" spans="1:11" ht="14.25">
      <c r="A393" s="32"/>
      <c r="B393" s="138"/>
      <c r="C393" s="4"/>
      <c r="D393" s="8"/>
      <c r="E393" s="25">
        <f t="shared" si="82"/>
      </c>
      <c r="F393" s="24"/>
      <c r="G393" s="169">
        <f>IF(ISBLANK(B393),"",VLOOKUP(B393,'Imputed Interest Rates'!A$2:H$99,8))</f>
      </c>
      <c r="H393" s="2"/>
      <c r="I393" s="94"/>
      <c r="J393" s="109" t="str">
        <f t="shared" si="83"/>
        <v> </v>
      </c>
      <c r="K393" s="113" t="str">
        <f t="shared" si="84"/>
        <v> </v>
      </c>
    </row>
    <row r="394" spans="1:11" ht="14.25">
      <c r="A394" s="32"/>
      <c r="B394" s="138"/>
      <c r="C394" s="4"/>
      <c r="D394" s="8"/>
      <c r="E394" s="25">
        <f t="shared" si="82"/>
      </c>
      <c r="F394" s="24"/>
      <c r="G394" s="169">
        <f>IF(ISBLANK(B394),"",VLOOKUP(B394,'Imputed Interest Rates'!A$2:H$99,8))</f>
      </c>
      <c r="H394" s="2"/>
      <c r="I394" s="94"/>
      <c r="J394" s="109" t="str">
        <f t="shared" si="83"/>
        <v> </v>
      </c>
      <c r="K394" s="113" t="str">
        <f t="shared" si="84"/>
        <v> </v>
      </c>
    </row>
    <row r="395" spans="1:11" ht="14.25">
      <c r="A395" s="32"/>
      <c r="B395" s="138"/>
      <c r="C395" s="4"/>
      <c r="D395" s="8"/>
      <c r="E395" s="25">
        <f t="shared" si="82"/>
      </c>
      <c r="F395" s="24"/>
      <c r="G395" s="169">
        <f>IF(ISBLANK(B395),"",VLOOKUP(B395,'Imputed Interest Rates'!A$2:H$99,8))</f>
      </c>
      <c r="H395" s="2"/>
      <c r="I395" s="94"/>
      <c r="J395" s="109" t="str">
        <f t="shared" si="83"/>
        <v> </v>
      </c>
      <c r="K395" s="113" t="str">
        <f t="shared" si="84"/>
        <v> </v>
      </c>
    </row>
    <row r="396" spans="1:11" ht="14.25">
      <c r="A396" s="124"/>
      <c r="B396" s="142"/>
      <c r="C396" s="9"/>
      <c r="D396" s="10"/>
      <c r="E396" s="26">
        <f t="shared" si="82"/>
      </c>
      <c r="F396" s="27"/>
      <c r="G396" s="169">
        <f>IF(ISBLANK(B396),"",VLOOKUP(B396,'Imputed Interest Rates'!A$2:H$99,8))</f>
      </c>
      <c r="H396" s="42"/>
      <c r="I396" s="95"/>
      <c r="J396" s="114" t="str">
        <f t="shared" si="83"/>
        <v> </v>
      </c>
      <c r="K396" s="115" t="str">
        <f t="shared" si="84"/>
        <v> </v>
      </c>
    </row>
    <row r="397" spans="1:11" ht="14.25">
      <c r="A397" s="96" t="s">
        <v>20</v>
      </c>
      <c r="B397" s="143"/>
      <c r="C397" s="97"/>
      <c r="D397" s="98"/>
      <c r="E397" s="25">
        <f>IF(ISNUMBER(E391),SUM(E391:E396),"")</f>
      </c>
      <c r="F397" s="29"/>
      <c r="G397" s="135">
        <f>IF(ISNUMBER(G391),ROUND(SUMPRODUCT(G391:G396,E391:E396)/E397,5),"")</f>
      </c>
      <c r="H397" s="43">
        <f>IF(ISNUMBER(H391),SUMPRODUCT(H391:H396,E391:E396)/E397,"")</f>
      </c>
      <c r="I397" s="119"/>
      <c r="J397" s="109" t="str">
        <f>IF(ISNUMBER(H397),PMT(($G397/12),($H397*12),-(E397))," ")</f>
        <v> </v>
      </c>
      <c r="K397" s="112" t="str">
        <f>IF(ISNUMBER($I397),IF($C397&lt;EffectiveDate-(365*2),0,PMT(($H397/12),($I397*12),-($G397*0.7)))," ")</f>
        <v> </v>
      </c>
    </row>
    <row r="398" spans="1:11" ht="14.25">
      <c r="A398" s="99" t="s">
        <v>21</v>
      </c>
      <c r="B398" s="144"/>
      <c r="C398" s="100"/>
      <c r="D398" s="100"/>
      <c r="E398" s="28">
        <f>IF(ISNUMBER(E397),$F$23+E397,"")</f>
      </c>
      <c r="F398" s="110">
        <f>IF(ISNUMBER(#REF!),G397+$F$23,"")</f>
      </c>
      <c r="G398" s="136">
        <f>IF(ISNUMBER(G397),ROUND((E397*G397+$F$23*$G$18)/($E398),5),"")</f>
      </c>
      <c r="H398" s="44">
        <f>IF(ISNUMBER(H397),ROUND((H397*E397+$F$23*$H$18)/$E398,0),"")</f>
      </c>
      <c r="I398" s="28"/>
      <c r="J398" s="111" t="str">
        <f>IF(ISNUMBER(H398),PMT(($G398/12),($H399*12),-(E398))," ")</f>
        <v> </v>
      </c>
      <c r="K398" s="113"/>
    </row>
    <row r="399" spans="1:11" ht="72">
      <c r="A399" s="101"/>
      <c r="B399" s="145"/>
      <c r="C399" s="102"/>
      <c r="D399" s="103"/>
      <c r="E399" s="104"/>
      <c r="F399" s="183" t="s">
        <v>26</v>
      </c>
      <c r="G399" s="184"/>
      <c r="H399" s="161">
        <f>H398</f>
      </c>
      <c r="I399" s="105" t="s">
        <v>22</v>
      </c>
      <c r="J399" s="116">
        <f>IF(ISNUMBER(E389),J398/E389,"")</f>
      </c>
      <c r="K399" s="153" t="str">
        <f>_xlfn.CONCAT("If percent increase is more than 10%, increase amortization period in cell ",ADDRESS(ROW(),8,4)," until percent increase is not more than 10%")</f>
        <v>If percent increase is more than 10%, increase amortization period in cell H399 until percent increase is not more than 10%</v>
      </c>
    </row>
    <row r="402" spans="1:11" ht="14.25">
      <c r="A402" s="45" t="s">
        <v>12</v>
      </c>
      <c r="B402" s="137"/>
      <c r="C402" s="75"/>
      <c r="D402" s="76"/>
      <c r="E402" s="77"/>
      <c r="F402" s="77"/>
      <c r="G402" s="78"/>
      <c r="H402" s="79"/>
      <c r="I402" s="80"/>
      <c r="J402" s="80"/>
      <c r="K402" s="80"/>
    </row>
    <row r="403" spans="1:11" ht="14.25">
      <c r="A403" s="87" t="s">
        <v>19</v>
      </c>
      <c r="B403" s="93"/>
      <c r="C403" s="88"/>
      <c r="D403" s="87" t="s">
        <v>6</v>
      </c>
      <c r="E403" s="89"/>
      <c r="F403" s="90"/>
      <c r="G403" s="91"/>
      <c r="H403" s="91"/>
      <c r="I403" s="92"/>
      <c r="J403" s="92"/>
      <c r="K403" s="93"/>
    </row>
    <row r="404" spans="1:11" ht="64.5">
      <c r="A404" s="128" t="s">
        <v>0</v>
      </c>
      <c r="B404" s="125" t="s">
        <v>28</v>
      </c>
      <c r="C404" s="133" t="s">
        <v>1</v>
      </c>
      <c r="D404" s="128" t="s">
        <v>30</v>
      </c>
      <c r="E404" s="125" t="s">
        <v>24</v>
      </c>
      <c r="F404" s="125"/>
      <c r="G404" s="128" t="s">
        <v>14</v>
      </c>
      <c r="H404" s="127" t="s">
        <v>16</v>
      </c>
      <c r="I404" s="128"/>
      <c r="J404" s="125" t="s">
        <v>15</v>
      </c>
      <c r="K404" s="129" t="s">
        <v>10</v>
      </c>
    </row>
    <row r="405" spans="1:11" ht="14.25">
      <c r="A405" s="32"/>
      <c r="B405" s="147"/>
      <c r="C405" s="13"/>
      <c r="D405" s="12"/>
      <c r="E405" s="25">
        <f aca="true" t="shared" si="85" ref="E405:E410">IF(ISBLANK(D405),"",IF(C405&lt;PetitionDate-(365*2),0,D405*0.7))</f>
      </c>
      <c r="F405" s="24"/>
      <c r="G405" s="169">
        <f>IF(ISBLANK(B405),"",VLOOKUP(B405,'Imputed Interest Rates'!A$2:H$99,8))</f>
      </c>
      <c r="H405" s="11"/>
      <c r="I405" s="94"/>
      <c r="J405" s="109" t="str">
        <f aca="true" t="shared" si="86" ref="J405:J410">IF(ISNUMBER(H405),IF(C405&lt;EffectiveDate-(365*2),0,PMT(($G405/12),($H405*12),-(E405)))," ")</f>
        <v> </v>
      </c>
      <c r="K405" s="112" t="str">
        <f aca="true" t="shared" si="87" ref="K405:K410">IF(ISBLANK(C405)," ",IF(C405&lt;PetitionDate-(365*2),"Not timely","OK"))</f>
        <v> </v>
      </c>
    </row>
    <row r="406" spans="1:11" ht="14.25">
      <c r="A406" s="32"/>
      <c r="B406" s="155"/>
      <c r="C406" s="4"/>
      <c r="D406" s="8"/>
      <c r="E406" s="25">
        <f t="shared" si="85"/>
      </c>
      <c r="F406" s="24"/>
      <c r="G406" s="169">
        <f>IF(ISBLANK(B406),"",VLOOKUP(B406,'Imputed Interest Rates'!A$2:H$99,8))</f>
      </c>
      <c r="H406" s="2"/>
      <c r="I406" s="94"/>
      <c r="J406" s="109" t="str">
        <f t="shared" si="86"/>
        <v> </v>
      </c>
      <c r="K406" s="113" t="str">
        <f t="shared" si="87"/>
        <v> </v>
      </c>
    </row>
    <row r="407" spans="1:11" ht="14.25">
      <c r="A407" s="32"/>
      <c r="B407" s="138"/>
      <c r="C407" s="4"/>
      <c r="D407" s="8"/>
      <c r="E407" s="25">
        <f t="shared" si="85"/>
      </c>
      <c r="F407" s="24"/>
      <c r="G407" s="169">
        <f>IF(ISBLANK(B407),"",VLOOKUP(B407,'Imputed Interest Rates'!A$2:H$99,8))</f>
      </c>
      <c r="H407" s="2"/>
      <c r="I407" s="94"/>
      <c r="J407" s="109" t="str">
        <f t="shared" si="86"/>
        <v> </v>
      </c>
      <c r="K407" s="113" t="str">
        <f t="shared" si="87"/>
        <v> </v>
      </c>
    </row>
    <row r="408" spans="1:11" ht="14.25">
      <c r="A408" s="32"/>
      <c r="B408" s="138"/>
      <c r="C408" s="4"/>
      <c r="D408" s="8"/>
      <c r="E408" s="25">
        <f t="shared" si="85"/>
      </c>
      <c r="F408" s="24"/>
      <c r="G408" s="169">
        <f>IF(ISBLANK(B408),"",VLOOKUP(B408,'Imputed Interest Rates'!A$2:H$99,8))</f>
      </c>
      <c r="H408" s="2"/>
      <c r="I408" s="94"/>
      <c r="J408" s="109" t="str">
        <f t="shared" si="86"/>
        <v> </v>
      </c>
      <c r="K408" s="113" t="str">
        <f t="shared" si="87"/>
        <v> </v>
      </c>
    </row>
    <row r="409" spans="1:11" ht="14.25">
      <c r="A409" s="32"/>
      <c r="B409" s="138"/>
      <c r="C409" s="4"/>
      <c r="D409" s="8"/>
      <c r="E409" s="25">
        <f t="shared" si="85"/>
      </c>
      <c r="F409" s="24"/>
      <c r="G409" s="169">
        <f>IF(ISBLANK(B409),"",VLOOKUP(B409,'Imputed Interest Rates'!A$2:H$99,8))</f>
      </c>
      <c r="H409" s="2"/>
      <c r="I409" s="94"/>
      <c r="J409" s="109" t="str">
        <f t="shared" si="86"/>
        <v> </v>
      </c>
      <c r="K409" s="113" t="str">
        <f t="shared" si="87"/>
        <v> </v>
      </c>
    </row>
    <row r="410" spans="1:11" ht="14.25">
      <c r="A410" s="124"/>
      <c r="B410" s="142"/>
      <c r="C410" s="9"/>
      <c r="D410" s="10"/>
      <c r="E410" s="26">
        <f t="shared" si="85"/>
      </c>
      <c r="F410" s="27"/>
      <c r="G410" s="169">
        <f>IF(ISBLANK(B410),"",VLOOKUP(B410,'Imputed Interest Rates'!A$2:H$99,8))</f>
      </c>
      <c r="H410" s="42"/>
      <c r="I410" s="95"/>
      <c r="J410" s="114" t="str">
        <f t="shared" si="86"/>
        <v> </v>
      </c>
      <c r="K410" s="115" t="str">
        <f t="shared" si="87"/>
        <v> </v>
      </c>
    </row>
    <row r="411" spans="1:11" ht="14.25">
      <c r="A411" s="96" t="s">
        <v>20</v>
      </c>
      <c r="B411" s="143"/>
      <c r="C411" s="97"/>
      <c r="D411" s="98"/>
      <c r="E411" s="25">
        <f>IF(ISNUMBER(E405),SUM(E405:E410),"")</f>
      </c>
      <c r="F411" s="29"/>
      <c r="G411" s="135">
        <f>IF(ISNUMBER(G405),ROUND(SUMPRODUCT(G405:G410,E405:E410)/E411,5),"")</f>
      </c>
      <c r="H411" s="43">
        <f>IF(ISNUMBER(H405),SUMPRODUCT(H405:H410,E405:E410)/E411,"")</f>
      </c>
      <c r="I411" s="119"/>
      <c r="J411" s="109" t="str">
        <f>IF(ISNUMBER(H411),PMT(($G411/12),($H411*12),-(E411))," ")</f>
        <v> </v>
      </c>
      <c r="K411" s="112" t="str">
        <f>IF(ISNUMBER($I411),IF($C411&lt;EffectiveDate-(365*2),0,PMT(($H411/12),($I411*12),-($G411*0.7)))," ")</f>
        <v> </v>
      </c>
    </row>
    <row r="412" spans="1:11" ht="14.25">
      <c r="A412" s="99" t="s">
        <v>21</v>
      </c>
      <c r="B412" s="144"/>
      <c r="C412" s="100"/>
      <c r="D412" s="100"/>
      <c r="E412" s="28">
        <f>IF(ISNUMBER(E411),$F$23+E411,"")</f>
      </c>
      <c r="F412" s="110">
        <f>IF(ISNUMBER(#REF!),G411+$F$23,"")</f>
      </c>
      <c r="G412" s="136">
        <f>IF(ISNUMBER(G411),ROUND((E411*G411+$F$23*$G$18)/($E412),5),"")</f>
      </c>
      <c r="H412" s="44">
        <f>IF(ISNUMBER(H411),ROUND((H411*E411+$F$23*$H$18)/$E412,0),"")</f>
      </c>
      <c r="I412" s="28"/>
      <c r="J412" s="111" t="str">
        <f>IF(ISNUMBER(H412),PMT(($G412/12),($H413*12),-(E412))," ")</f>
        <v> </v>
      </c>
      <c r="K412" s="113"/>
    </row>
    <row r="413" spans="1:11" ht="71.25" customHeight="1">
      <c r="A413" s="101"/>
      <c r="B413" s="145"/>
      <c r="C413" s="102"/>
      <c r="D413" s="103"/>
      <c r="E413" s="104"/>
      <c r="F413" s="183" t="s">
        <v>26</v>
      </c>
      <c r="G413" s="184"/>
      <c r="H413" s="161">
        <f>H412</f>
      </c>
      <c r="I413" s="105" t="s">
        <v>22</v>
      </c>
      <c r="J413" s="116">
        <f>IF(ISNUMBER(E403),J412/E403,"")</f>
      </c>
      <c r="K413" s="153" t="str">
        <f>_xlfn.CONCAT("If percent increase is more than 10%, increase amortization period in cell ",ADDRESS(ROW(),8,4)," until percent increase is not more than 10%")</f>
        <v>If percent increase is more than 10%, increase amortization period in cell H413 until percent increase is not more than 10%</v>
      </c>
    </row>
    <row r="414" spans="1:11" ht="15.75" customHeight="1">
      <c r="A414" s="117"/>
      <c r="B414" s="117"/>
      <c r="C414" s="81"/>
      <c r="D414" s="82"/>
      <c r="E414" s="83"/>
      <c r="F414" s="83"/>
      <c r="G414" s="84"/>
      <c r="H414" s="85"/>
      <c r="I414" s="86"/>
      <c r="J414" s="86"/>
      <c r="K414" s="86"/>
    </row>
    <row r="415" spans="1:11" ht="14.25">
      <c r="A415" s="87" t="s">
        <v>19</v>
      </c>
      <c r="B415" s="93"/>
      <c r="C415" s="88"/>
      <c r="D415" s="87" t="s">
        <v>6</v>
      </c>
      <c r="E415" s="89"/>
      <c r="F415" s="90"/>
      <c r="G415" s="91"/>
      <c r="H415" s="91"/>
      <c r="I415" s="92"/>
      <c r="J415" s="92"/>
      <c r="K415" s="93"/>
    </row>
    <row r="416" spans="1:11" ht="64.5">
      <c r="A416" s="128" t="s">
        <v>0</v>
      </c>
      <c r="B416" s="125" t="s">
        <v>28</v>
      </c>
      <c r="C416" s="133" t="s">
        <v>1</v>
      </c>
      <c r="D416" s="128" t="s">
        <v>30</v>
      </c>
      <c r="E416" s="125" t="s">
        <v>24</v>
      </c>
      <c r="F416" s="125"/>
      <c r="G416" s="128" t="s">
        <v>14</v>
      </c>
      <c r="H416" s="127" t="s">
        <v>16</v>
      </c>
      <c r="I416" s="128"/>
      <c r="J416" s="125" t="s">
        <v>15</v>
      </c>
      <c r="K416" s="129" t="s">
        <v>10</v>
      </c>
    </row>
    <row r="417" spans="1:11" ht="14.25">
      <c r="A417" s="32"/>
      <c r="B417" s="147"/>
      <c r="C417" s="13"/>
      <c r="D417" s="12"/>
      <c r="E417" s="25">
        <f aca="true" t="shared" si="88" ref="E417:E422">IF(ISBLANK(D417),"",IF(C417&lt;PetitionDate-(365*2),0,D417*0.7))</f>
      </c>
      <c r="F417" s="24"/>
      <c r="G417" s="169">
        <f>IF(ISBLANK(B417),"",VLOOKUP(B417,'Imputed Interest Rates'!A$2:H$99,8))</f>
      </c>
      <c r="H417" s="11"/>
      <c r="I417" s="94"/>
      <c r="J417" s="109" t="str">
        <f aca="true" t="shared" si="89" ref="J417:J422">IF(ISNUMBER(H417),IF(C417&lt;EffectiveDate-(365*2),0,PMT(($G417/12),($H417*12),-(E417)))," ")</f>
        <v> </v>
      </c>
      <c r="K417" s="112" t="str">
        <f aca="true" t="shared" si="90" ref="K417:K422">IF(ISBLANK(C417)," ",IF(C417&lt;PetitionDate-(365*2),"Not timely","OK"))</f>
        <v> </v>
      </c>
    </row>
    <row r="418" spans="1:11" ht="14.25">
      <c r="A418" s="32"/>
      <c r="B418" s="155"/>
      <c r="C418" s="4"/>
      <c r="D418" s="8"/>
      <c r="E418" s="25">
        <f t="shared" si="88"/>
      </c>
      <c r="F418" s="24"/>
      <c r="G418" s="169">
        <f>IF(ISBLANK(B418),"",VLOOKUP(B418,'Imputed Interest Rates'!A$2:H$99,8))</f>
      </c>
      <c r="H418" s="2"/>
      <c r="I418" s="94"/>
      <c r="J418" s="109" t="str">
        <f t="shared" si="89"/>
        <v> </v>
      </c>
      <c r="K418" s="113" t="str">
        <f t="shared" si="90"/>
        <v> </v>
      </c>
    </row>
    <row r="419" spans="1:11" ht="14.25">
      <c r="A419" s="32"/>
      <c r="B419" s="138"/>
      <c r="C419" s="4"/>
      <c r="D419" s="8"/>
      <c r="E419" s="25">
        <f t="shared" si="88"/>
      </c>
      <c r="F419" s="24"/>
      <c r="G419" s="169">
        <f>IF(ISBLANK(B419),"",VLOOKUP(B419,'Imputed Interest Rates'!A$2:H$99,8))</f>
      </c>
      <c r="H419" s="2"/>
      <c r="I419" s="94"/>
      <c r="J419" s="109" t="str">
        <f t="shared" si="89"/>
        <v> </v>
      </c>
      <c r="K419" s="113" t="str">
        <f t="shared" si="90"/>
        <v> </v>
      </c>
    </row>
    <row r="420" spans="1:11" ht="14.25">
      <c r="A420" s="32"/>
      <c r="B420" s="138"/>
      <c r="C420" s="4"/>
      <c r="D420" s="8"/>
      <c r="E420" s="25">
        <f t="shared" si="88"/>
      </c>
      <c r="F420" s="24"/>
      <c r="G420" s="169">
        <f>IF(ISBLANK(B420),"",VLOOKUP(B420,'Imputed Interest Rates'!A$2:H$99,8))</f>
      </c>
      <c r="H420" s="2"/>
      <c r="I420" s="94"/>
      <c r="J420" s="109" t="str">
        <f t="shared" si="89"/>
        <v> </v>
      </c>
      <c r="K420" s="113" t="str">
        <f t="shared" si="90"/>
        <v> </v>
      </c>
    </row>
    <row r="421" spans="1:11" ht="14.25">
      <c r="A421" s="32"/>
      <c r="B421" s="138"/>
      <c r="C421" s="4"/>
      <c r="D421" s="8"/>
      <c r="E421" s="25">
        <f t="shared" si="88"/>
      </c>
      <c r="F421" s="24"/>
      <c r="G421" s="169">
        <f>IF(ISBLANK(B421),"",VLOOKUP(B421,'Imputed Interest Rates'!A$2:H$99,8))</f>
      </c>
      <c r="H421" s="2"/>
      <c r="I421" s="94"/>
      <c r="J421" s="109" t="str">
        <f t="shared" si="89"/>
        <v> </v>
      </c>
      <c r="K421" s="113" t="str">
        <f t="shared" si="90"/>
        <v> </v>
      </c>
    </row>
    <row r="422" spans="1:11" ht="14.25">
      <c r="A422" s="124"/>
      <c r="B422" s="142"/>
      <c r="C422" s="9"/>
      <c r="D422" s="10"/>
      <c r="E422" s="26">
        <f t="shared" si="88"/>
      </c>
      <c r="F422" s="27"/>
      <c r="G422" s="169">
        <f>IF(ISBLANK(B422),"",VLOOKUP(B422,'Imputed Interest Rates'!A$2:H$99,8))</f>
      </c>
      <c r="H422" s="42"/>
      <c r="I422" s="95"/>
      <c r="J422" s="114" t="str">
        <f t="shared" si="89"/>
        <v> </v>
      </c>
      <c r="K422" s="115" t="str">
        <f t="shared" si="90"/>
        <v> </v>
      </c>
    </row>
    <row r="423" spans="1:11" ht="14.25">
      <c r="A423" s="96" t="s">
        <v>20</v>
      </c>
      <c r="B423" s="143"/>
      <c r="C423" s="97"/>
      <c r="D423" s="98"/>
      <c r="E423" s="25">
        <f>IF(ISNUMBER(E417),SUM(E417:E422),"")</f>
      </c>
      <c r="F423" s="29"/>
      <c r="G423" s="135">
        <f>IF(ISNUMBER(G417),ROUND(SUMPRODUCT(G417:G422,E417:E422)/E423,5),"")</f>
      </c>
      <c r="H423" s="43">
        <f>IF(ISNUMBER(H417),SUMPRODUCT(H417:H422,E417:E422)/E423,"")</f>
      </c>
      <c r="I423" s="119"/>
      <c r="J423" s="109" t="str">
        <f>IF(ISNUMBER(H423),PMT(($G423/12),($H423*12),-(E423))," ")</f>
        <v> </v>
      </c>
      <c r="K423" s="112" t="str">
        <f>IF(ISNUMBER($I423),IF($C423&lt;EffectiveDate-(365*2),0,PMT(($H423/12),($I423*12),-($G423*0.7)))," ")</f>
        <v> </v>
      </c>
    </row>
    <row r="424" spans="1:11" ht="14.25">
      <c r="A424" s="99" t="s">
        <v>21</v>
      </c>
      <c r="B424" s="144"/>
      <c r="C424" s="100"/>
      <c r="D424" s="100"/>
      <c r="E424" s="28">
        <f>IF(ISNUMBER(E423),$F$23+E423,"")</f>
      </c>
      <c r="F424" s="110">
        <f>IF(ISNUMBER(#REF!),G423+$F$23,"")</f>
      </c>
      <c r="G424" s="136">
        <f>IF(ISNUMBER(G423),ROUND((E423*G423+$F$23*$G$18)/($E424),5),"")</f>
      </c>
      <c r="H424" s="44">
        <f>IF(ISNUMBER(H423),ROUND((H423*E423+$F$23*$H$18)/$E424,0),"")</f>
      </c>
      <c r="I424" s="28"/>
      <c r="J424" s="111" t="str">
        <f>IF(ISNUMBER(H424),PMT(($G424/12),($H425*12),-(E424))," ")</f>
        <v> </v>
      </c>
      <c r="K424" s="113"/>
    </row>
    <row r="425" spans="1:11" ht="72">
      <c r="A425" s="101"/>
      <c r="B425" s="145"/>
      <c r="C425" s="102"/>
      <c r="D425" s="103"/>
      <c r="E425" s="104"/>
      <c r="F425" s="183" t="s">
        <v>26</v>
      </c>
      <c r="G425" s="184"/>
      <c r="H425" s="161">
        <f>H424</f>
      </c>
      <c r="I425" s="105" t="s">
        <v>22</v>
      </c>
      <c r="J425" s="116">
        <f>IF(ISNUMBER(E415),J424/E415,"")</f>
      </c>
      <c r="K425" s="153" t="str">
        <f>_xlfn.CONCAT("If percent increase is more than 10%, increase amortization period in cell ",ADDRESS(ROW(),8,4)," until percent increase is not more than 10%")</f>
        <v>If percent increase is more than 10%, increase amortization period in cell H425 until percent increase is not more than 10%</v>
      </c>
    </row>
    <row r="428" spans="1:11" ht="14.25">
      <c r="A428" s="45" t="s">
        <v>12</v>
      </c>
      <c r="B428" s="137"/>
      <c r="C428" s="75"/>
      <c r="D428" s="76"/>
      <c r="E428" s="77"/>
      <c r="F428" s="77"/>
      <c r="G428" s="78"/>
      <c r="H428" s="79"/>
      <c r="I428" s="80"/>
      <c r="J428" s="80"/>
      <c r="K428" s="80"/>
    </row>
    <row r="429" spans="1:11" ht="14.25">
      <c r="A429" s="87" t="s">
        <v>19</v>
      </c>
      <c r="B429" s="93"/>
      <c r="C429" s="88"/>
      <c r="D429" s="87" t="s">
        <v>6</v>
      </c>
      <c r="E429" s="89"/>
      <c r="F429" s="90"/>
      <c r="G429" s="91"/>
      <c r="H429" s="91"/>
      <c r="I429" s="92"/>
      <c r="J429" s="92"/>
      <c r="K429" s="93"/>
    </row>
    <row r="430" spans="1:11" ht="64.5">
      <c r="A430" s="128" t="s">
        <v>0</v>
      </c>
      <c r="B430" s="125" t="s">
        <v>28</v>
      </c>
      <c r="C430" s="133" t="s">
        <v>1</v>
      </c>
      <c r="D430" s="128" t="s">
        <v>30</v>
      </c>
      <c r="E430" s="125" t="s">
        <v>24</v>
      </c>
      <c r="F430" s="125"/>
      <c r="G430" s="128" t="s">
        <v>14</v>
      </c>
      <c r="H430" s="127" t="s">
        <v>16</v>
      </c>
      <c r="I430" s="128"/>
      <c r="J430" s="125" t="s">
        <v>15</v>
      </c>
      <c r="K430" s="129" t="s">
        <v>10</v>
      </c>
    </row>
    <row r="431" spans="1:11" ht="14.25">
      <c r="A431" s="32"/>
      <c r="B431" s="147"/>
      <c r="C431" s="13"/>
      <c r="D431" s="12"/>
      <c r="E431" s="25">
        <f aca="true" t="shared" si="91" ref="E431:E436">IF(ISBLANK(D431),"",IF(C431&lt;PetitionDate-(365*2),0,D431*0.7))</f>
      </c>
      <c r="F431" s="24"/>
      <c r="G431" s="169">
        <f>IF(ISBLANK(B431),"",VLOOKUP(B431,'Imputed Interest Rates'!A$2:H$99,8))</f>
      </c>
      <c r="H431" s="11"/>
      <c r="I431" s="94"/>
      <c r="J431" s="109" t="str">
        <f aca="true" t="shared" si="92" ref="J431:J436">IF(ISNUMBER(H431),IF(C431&lt;EffectiveDate-(365*2),0,PMT(($G431/12),($H431*12),-(E431)))," ")</f>
        <v> </v>
      </c>
      <c r="K431" s="112" t="str">
        <f aca="true" t="shared" si="93" ref="K431:K436">IF(ISBLANK(C431)," ",IF(C431&lt;PetitionDate-(365*2),"Not timely","OK"))</f>
        <v> </v>
      </c>
    </row>
    <row r="432" spans="1:11" ht="14.25">
      <c r="A432" s="32"/>
      <c r="B432" s="155"/>
      <c r="C432" s="4"/>
      <c r="D432" s="8"/>
      <c r="E432" s="25">
        <f t="shared" si="91"/>
      </c>
      <c r="F432" s="24"/>
      <c r="G432" s="169">
        <f>IF(ISBLANK(B432),"",VLOOKUP(B432,'Imputed Interest Rates'!A$2:H$99,8))</f>
      </c>
      <c r="H432" s="2"/>
      <c r="I432" s="94"/>
      <c r="J432" s="109" t="str">
        <f t="shared" si="92"/>
        <v> </v>
      </c>
      <c r="K432" s="113" t="str">
        <f t="shared" si="93"/>
        <v> </v>
      </c>
    </row>
    <row r="433" spans="1:11" ht="14.25">
      <c r="A433" s="32"/>
      <c r="B433" s="138"/>
      <c r="C433" s="4"/>
      <c r="D433" s="8"/>
      <c r="E433" s="25">
        <f t="shared" si="91"/>
      </c>
      <c r="F433" s="24"/>
      <c r="G433" s="169">
        <f>IF(ISBLANK(B433),"",VLOOKUP(B433,'Imputed Interest Rates'!A$2:H$99,8))</f>
      </c>
      <c r="H433" s="2"/>
      <c r="I433" s="94"/>
      <c r="J433" s="109" t="str">
        <f t="shared" si="92"/>
        <v> </v>
      </c>
      <c r="K433" s="113" t="str">
        <f t="shared" si="93"/>
        <v> </v>
      </c>
    </row>
    <row r="434" spans="1:11" ht="14.25">
      <c r="A434" s="32"/>
      <c r="B434" s="138"/>
      <c r="C434" s="4"/>
      <c r="D434" s="8"/>
      <c r="E434" s="25">
        <f t="shared" si="91"/>
      </c>
      <c r="F434" s="24"/>
      <c r="G434" s="169">
        <f>IF(ISBLANK(B434),"",VLOOKUP(B434,'Imputed Interest Rates'!A$2:H$99,8))</f>
      </c>
      <c r="H434" s="2"/>
      <c r="I434" s="94"/>
      <c r="J434" s="109" t="str">
        <f t="shared" si="92"/>
        <v> </v>
      </c>
      <c r="K434" s="113" t="str">
        <f t="shared" si="93"/>
        <v> </v>
      </c>
    </row>
    <row r="435" spans="1:11" ht="14.25">
      <c r="A435" s="32"/>
      <c r="B435" s="138"/>
      <c r="C435" s="4"/>
      <c r="D435" s="8"/>
      <c r="E435" s="25">
        <f t="shared" si="91"/>
      </c>
      <c r="F435" s="24"/>
      <c r="G435" s="169">
        <f>IF(ISBLANK(B435),"",VLOOKUP(B435,'Imputed Interest Rates'!A$2:H$99,8))</f>
      </c>
      <c r="H435" s="2"/>
      <c r="I435" s="94"/>
      <c r="J435" s="109" t="str">
        <f t="shared" si="92"/>
        <v> </v>
      </c>
      <c r="K435" s="113" t="str">
        <f t="shared" si="93"/>
        <v> </v>
      </c>
    </row>
    <row r="436" spans="1:11" ht="14.25">
      <c r="A436" s="124"/>
      <c r="B436" s="142"/>
      <c r="C436" s="9"/>
      <c r="D436" s="10"/>
      <c r="E436" s="26">
        <f t="shared" si="91"/>
      </c>
      <c r="F436" s="27"/>
      <c r="G436" s="169">
        <f>IF(ISBLANK(B436),"",VLOOKUP(B436,'Imputed Interest Rates'!A$2:H$99,8))</f>
      </c>
      <c r="H436" s="42"/>
      <c r="I436" s="95"/>
      <c r="J436" s="114" t="str">
        <f t="shared" si="92"/>
        <v> </v>
      </c>
      <c r="K436" s="115" t="str">
        <f t="shared" si="93"/>
        <v> </v>
      </c>
    </row>
    <row r="437" spans="1:11" ht="14.25">
      <c r="A437" s="96" t="s">
        <v>20</v>
      </c>
      <c r="B437" s="143"/>
      <c r="C437" s="97"/>
      <c r="D437" s="98"/>
      <c r="E437" s="25">
        <f>IF(ISNUMBER(E431),SUM(E431:E436),"")</f>
      </c>
      <c r="F437" s="29"/>
      <c r="G437" s="135">
        <f>IF(ISNUMBER(G431),ROUND(SUMPRODUCT(G431:G436,E431:E436)/E437,5),"")</f>
      </c>
      <c r="H437" s="43">
        <f>IF(ISNUMBER(H431),SUMPRODUCT(H431:H436,E431:E436)/E437,"")</f>
      </c>
      <c r="I437" s="119"/>
      <c r="J437" s="109" t="str">
        <f>IF(ISNUMBER(H437),PMT(($G437/12),($H437*12),-(E437))," ")</f>
        <v> </v>
      </c>
      <c r="K437" s="112" t="str">
        <f>IF(ISNUMBER($I437),IF($C437&lt;EffectiveDate-(365*2),0,PMT(($H437/12),($I437*12),-($G437*0.7)))," ")</f>
        <v> </v>
      </c>
    </row>
    <row r="438" spans="1:11" ht="14.25">
      <c r="A438" s="99" t="s">
        <v>21</v>
      </c>
      <c r="B438" s="144"/>
      <c r="C438" s="100"/>
      <c r="D438" s="100"/>
      <c r="E438" s="28">
        <f>IF(ISNUMBER(E437),$F$23+E437,"")</f>
      </c>
      <c r="F438" s="110">
        <f>IF(ISNUMBER(#REF!),G437+$F$23,"")</f>
      </c>
      <c r="G438" s="136">
        <f>IF(ISNUMBER(G437),ROUND((E437*G437+$F$23*$G$18)/($E438),5),"")</f>
      </c>
      <c r="H438" s="44">
        <f>IF(ISNUMBER(H437),ROUND((H437*E437+$F$23*$H$18)/$E438,0),"")</f>
      </c>
      <c r="I438" s="28"/>
      <c r="J438" s="111" t="str">
        <f>IF(ISNUMBER(H438),PMT(($G438/12),($H439*12),-(E438))," ")</f>
        <v> </v>
      </c>
      <c r="K438" s="113"/>
    </row>
    <row r="439" spans="1:11" ht="71.25" customHeight="1">
      <c r="A439" s="101"/>
      <c r="B439" s="145"/>
      <c r="C439" s="102"/>
      <c r="D439" s="103"/>
      <c r="E439" s="104"/>
      <c r="F439" s="183" t="s">
        <v>26</v>
      </c>
      <c r="G439" s="184"/>
      <c r="H439" s="161">
        <f>H438</f>
      </c>
      <c r="I439" s="105" t="s">
        <v>22</v>
      </c>
      <c r="J439" s="116">
        <f>IF(ISNUMBER(E429),J438/E429,"")</f>
      </c>
      <c r="K439" s="153" t="str">
        <f>_xlfn.CONCAT("If percent increase is more than 10%, increase amortization period in cell ",ADDRESS(ROW(),8,4)," until percent increase is not more than 10%")</f>
        <v>If percent increase is more than 10%, increase amortization period in cell H439 until percent increase is not more than 10%</v>
      </c>
    </row>
    <row r="440" spans="1:11" ht="15.75" customHeight="1">
      <c r="A440" s="117"/>
      <c r="B440" s="117"/>
      <c r="C440" s="81"/>
      <c r="D440" s="82"/>
      <c r="E440" s="83"/>
      <c r="F440" s="83"/>
      <c r="G440" s="84"/>
      <c r="H440" s="85"/>
      <c r="I440" s="86"/>
      <c r="J440" s="86"/>
      <c r="K440" s="86"/>
    </row>
    <row r="441" spans="1:11" ht="14.25">
      <c r="A441" s="87" t="s">
        <v>19</v>
      </c>
      <c r="B441" s="93"/>
      <c r="C441" s="88"/>
      <c r="D441" s="87" t="s">
        <v>6</v>
      </c>
      <c r="E441" s="89"/>
      <c r="F441" s="90"/>
      <c r="G441" s="91"/>
      <c r="H441" s="91"/>
      <c r="I441" s="92"/>
      <c r="J441" s="92"/>
      <c r="K441" s="93"/>
    </row>
    <row r="442" spans="1:11" ht="64.5">
      <c r="A442" s="128" t="s">
        <v>0</v>
      </c>
      <c r="B442" s="125" t="s">
        <v>28</v>
      </c>
      <c r="C442" s="133" t="s">
        <v>1</v>
      </c>
      <c r="D442" s="128" t="s">
        <v>30</v>
      </c>
      <c r="E442" s="125" t="s">
        <v>24</v>
      </c>
      <c r="F442" s="125"/>
      <c r="G442" s="128" t="s">
        <v>14</v>
      </c>
      <c r="H442" s="127" t="s">
        <v>16</v>
      </c>
      <c r="I442" s="128"/>
      <c r="J442" s="125" t="s">
        <v>15</v>
      </c>
      <c r="K442" s="129" t="s">
        <v>10</v>
      </c>
    </row>
    <row r="443" spans="1:11" ht="14.25">
      <c r="A443" s="32"/>
      <c r="B443" s="147"/>
      <c r="C443" s="13"/>
      <c r="D443" s="12"/>
      <c r="E443" s="25">
        <f aca="true" t="shared" si="94" ref="E443:E448">IF(ISBLANK(D443),"",IF(C443&lt;PetitionDate-(365*2),0,D443*0.7))</f>
      </c>
      <c r="F443" s="24"/>
      <c r="G443" s="169">
        <f>IF(ISBLANK(B443),"",VLOOKUP(B443,'Imputed Interest Rates'!A$2:H$99,8))</f>
      </c>
      <c r="H443" s="11"/>
      <c r="I443" s="94"/>
      <c r="J443" s="109" t="str">
        <f aca="true" t="shared" si="95" ref="J443:J448">IF(ISNUMBER(H443),IF(C443&lt;EffectiveDate-(365*2),0,PMT(($G443/12),($H443*12),-(E443)))," ")</f>
        <v> </v>
      </c>
      <c r="K443" s="112" t="str">
        <f aca="true" t="shared" si="96" ref="K443:K448">IF(ISBLANK(C443)," ",IF(C443&lt;PetitionDate-(365*2),"Not timely","OK"))</f>
        <v> </v>
      </c>
    </row>
    <row r="444" spans="1:11" ht="14.25">
      <c r="A444" s="32"/>
      <c r="B444" s="155"/>
      <c r="C444" s="4"/>
      <c r="D444" s="8"/>
      <c r="E444" s="25">
        <f t="shared" si="94"/>
      </c>
      <c r="F444" s="24"/>
      <c r="G444" s="169">
        <f>IF(ISBLANK(B444),"",VLOOKUP(B444,'Imputed Interest Rates'!A$2:H$99,8))</f>
      </c>
      <c r="H444" s="2"/>
      <c r="I444" s="94"/>
      <c r="J444" s="109" t="str">
        <f t="shared" si="95"/>
        <v> </v>
      </c>
      <c r="K444" s="113" t="str">
        <f t="shared" si="96"/>
        <v> </v>
      </c>
    </row>
    <row r="445" spans="1:11" ht="14.25">
      <c r="A445" s="32"/>
      <c r="B445" s="138"/>
      <c r="C445" s="4"/>
      <c r="D445" s="8"/>
      <c r="E445" s="25">
        <f t="shared" si="94"/>
      </c>
      <c r="F445" s="24"/>
      <c r="G445" s="169">
        <f>IF(ISBLANK(B445),"",VLOOKUP(B445,'Imputed Interest Rates'!A$2:H$99,8))</f>
      </c>
      <c r="H445" s="2"/>
      <c r="I445" s="94"/>
      <c r="J445" s="109" t="str">
        <f t="shared" si="95"/>
        <v> </v>
      </c>
      <c r="K445" s="113" t="str">
        <f t="shared" si="96"/>
        <v> </v>
      </c>
    </row>
    <row r="446" spans="1:11" ht="14.25">
      <c r="A446" s="32"/>
      <c r="B446" s="138"/>
      <c r="C446" s="4"/>
      <c r="D446" s="8"/>
      <c r="E446" s="25">
        <f t="shared" si="94"/>
      </c>
      <c r="F446" s="24"/>
      <c r="G446" s="169">
        <f>IF(ISBLANK(B446),"",VLOOKUP(B446,'Imputed Interest Rates'!A$2:H$99,8))</f>
      </c>
      <c r="H446" s="2"/>
      <c r="I446" s="94"/>
      <c r="J446" s="109" t="str">
        <f t="shared" si="95"/>
        <v> </v>
      </c>
      <c r="K446" s="113" t="str">
        <f t="shared" si="96"/>
        <v> </v>
      </c>
    </row>
    <row r="447" spans="1:11" ht="14.25">
      <c r="A447" s="32"/>
      <c r="B447" s="138"/>
      <c r="C447" s="4"/>
      <c r="D447" s="8"/>
      <c r="E447" s="25">
        <f t="shared" si="94"/>
      </c>
      <c r="F447" s="24"/>
      <c r="G447" s="169">
        <f>IF(ISBLANK(B447),"",VLOOKUP(B447,'Imputed Interest Rates'!A$2:H$99,8))</f>
      </c>
      <c r="H447" s="2"/>
      <c r="I447" s="94"/>
      <c r="J447" s="109" t="str">
        <f t="shared" si="95"/>
        <v> </v>
      </c>
      <c r="K447" s="113" t="str">
        <f t="shared" si="96"/>
        <v> </v>
      </c>
    </row>
    <row r="448" spans="1:11" ht="14.25">
      <c r="A448" s="124"/>
      <c r="B448" s="142"/>
      <c r="C448" s="9"/>
      <c r="D448" s="10"/>
      <c r="E448" s="26">
        <f t="shared" si="94"/>
      </c>
      <c r="F448" s="27"/>
      <c r="G448" s="169">
        <f>IF(ISBLANK(B448),"",VLOOKUP(B448,'Imputed Interest Rates'!A$2:H$99,8))</f>
      </c>
      <c r="H448" s="42"/>
      <c r="I448" s="95"/>
      <c r="J448" s="114" t="str">
        <f t="shared" si="95"/>
        <v> </v>
      </c>
      <c r="K448" s="115" t="str">
        <f t="shared" si="96"/>
        <v> </v>
      </c>
    </row>
    <row r="449" spans="1:11" ht="14.25">
      <c r="A449" s="96" t="s">
        <v>20</v>
      </c>
      <c r="B449" s="143"/>
      <c r="C449" s="97"/>
      <c r="D449" s="98"/>
      <c r="E449" s="25">
        <f>IF(ISNUMBER(E443),SUM(E443:E448),"")</f>
      </c>
      <c r="F449" s="29"/>
      <c r="G449" s="135">
        <f>IF(ISNUMBER(G443),ROUND(SUMPRODUCT(G443:G448,E443:E448)/E449,5),"")</f>
      </c>
      <c r="H449" s="43">
        <f>IF(ISNUMBER(H443),SUMPRODUCT(H443:H448,E443:E448)/E449,"")</f>
      </c>
      <c r="I449" s="119"/>
      <c r="J449" s="109" t="str">
        <f>IF(ISNUMBER(H449),PMT(($G449/12),($H449*12),-(E449))," ")</f>
        <v> </v>
      </c>
      <c r="K449" s="112" t="str">
        <f>IF(ISNUMBER($I449),IF($C449&lt;EffectiveDate-(365*2),0,PMT(($H449/12),($I449*12),-($G449*0.7)))," ")</f>
        <v> </v>
      </c>
    </row>
    <row r="450" spans="1:11" ht="14.25">
      <c r="A450" s="99" t="s">
        <v>21</v>
      </c>
      <c r="B450" s="144"/>
      <c r="C450" s="100"/>
      <c r="D450" s="100"/>
      <c r="E450" s="28">
        <f>IF(ISNUMBER(E449),$F$23+E449,"")</f>
      </c>
      <c r="F450" s="110">
        <f>IF(ISNUMBER(#REF!),G449+$F$23,"")</f>
      </c>
      <c r="G450" s="136">
        <f>IF(ISNUMBER(G449),ROUND((E449*G449+$F$23*$G$18)/($E450),5),"")</f>
      </c>
      <c r="H450" s="44">
        <f>IF(ISNUMBER(H449),ROUND((H449*E449+$F$23*$H$18)/$E450,0),"")</f>
      </c>
      <c r="I450" s="28"/>
      <c r="J450" s="111" t="str">
        <f>IF(ISNUMBER(H450),PMT(($G450/12),($H451*12),-(E450))," ")</f>
        <v> </v>
      </c>
      <c r="K450" s="113"/>
    </row>
    <row r="451" spans="1:11" ht="72">
      <c r="A451" s="101"/>
      <c r="B451" s="145"/>
      <c r="C451" s="102"/>
      <c r="D451" s="103"/>
      <c r="E451" s="104"/>
      <c r="F451" s="183" t="s">
        <v>26</v>
      </c>
      <c r="G451" s="184"/>
      <c r="H451" s="161">
        <f>H450</f>
      </c>
      <c r="I451" s="105" t="s">
        <v>22</v>
      </c>
      <c r="J451" s="116">
        <f>IF(ISNUMBER(E441),J450/E441,"")</f>
      </c>
      <c r="K451" s="153" t="str">
        <f>_xlfn.CONCAT("If percent increase is more than 10%, increase amortization period in cell ",ADDRESS(ROW(),8,4)," until percent increase is not more than 10%")</f>
        <v>If percent increase is more than 10%, increase amortization period in cell H451 until percent increase is not more than 10%</v>
      </c>
    </row>
    <row r="454" spans="1:11" ht="14.25">
      <c r="A454" s="45" t="s">
        <v>12</v>
      </c>
      <c r="B454" s="137"/>
      <c r="C454" s="75"/>
      <c r="D454" s="76"/>
      <c r="E454" s="77"/>
      <c r="F454" s="77"/>
      <c r="G454" s="78"/>
      <c r="H454" s="79"/>
      <c r="I454" s="80"/>
      <c r="J454" s="80"/>
      <c r="K454" s="80"/>
    </row>
    <row r="455" spans="1:11" ht="14.25">
      <c r="A455" s="87" t="s">
        <v>19</v>
      </c>
      <c r="B455" s="93"/>
      <c r="C455" s="88"/>
      <c r="D455" s="87" t="s">
        <v>6</v>
      </c>
      <c r="E455" s="89"/>
      <c r="F455" s="90"/>
      <c r="G455" s="91"/>
      <c r="H455" s="91"/>
      <c r="I455" s="92"/>
      <c r="J455" s="92"/>
      <c r="K455" s="93"/>
    </row>
    <row r="456" spans="1:11" ht="64.5">
      <c r="A456" s="128" t="s">
        <v>0</v>
      </c>
      <c r="B456" s="125" t="s">
        <v>28</v>
      </c>
      <c r="C456" s="133" t="s">
        <v>1</v>
      </c>
      <c r="D456" s="128" t="s">
        <v>30</v>
      </c>
      <c r="E456" s="125" t="s">
        <v>24</v>
      </c>
      <c r="F456" s="125"/>
      <c r="G456" s="128" t="s">
        <v>14</v>
      </c>
      <c r="H456" s="127" t="s">
        <v>16</v>
      </c>
      <c r="I456" s="128"/>
      <c r="J456" s="125" t="s">
        <v>15</v>
      </c>
      <c r="K456" s="129" t="s">
        <v>10</v>
      </c>
    </row>
    <row r="457" spans="1:11" ht="14.25">
      <c r="A457" s="32"/>
      <c r="B457" s="147"/>
      <c r="C457" s="13"/>
      <c r="D457" s="12"/>
      <c r="E457" s="25">
        <f aca="true" t="shared" si="97" ref="E457:E462">IF(ISBLANK(D457),"",IF(C457&lt;PetitionDate-(365*2),0,D457*0.7))</f>
      </c>
      <c r="F457" s="24"/>
      <c r="G457" s="169">
        <f>IF(ISBLANK(B457),"",VLOOKUP(B457,'Imputed Interest Rates'!A$2:H$99,8))</f>
      </c>
      <c r="H457" s="11"/>
      <c r="I457" s="94"/>
      <c r="J457" s="109" t="str">
        <f aca="true" t="shared" si="98" ref="J457:J462">IF(ISNUMBER(H457),IF(C457&lt;EffectiveDate-(365*2),0,PMT(($G457/12),($H457*12),-(E457)))," ")</f>
        <v> </v>
      </c>
      <c r="K457" s="112" t="str">
        <f aca="true" t="shared" si="99" ref="K457:K462">IF(ISBLANK(C457)," ",IF(C457&lt;PetitionDate-(365*2),"Not timely","OK"))</f>
        <v> </v>
      </c>
    </row>
    <row r="458" spans="1:11" ht="14.25">
      <c r="A458" s="32"/>
      <c r="B458" s="155"/>
      <c r="C458" s="4"/>
      <c r="D458" s="8"/>
      <c r="E458" s="25">
        <f t="shared" si="97"/>
      </c>
      <c r="F458" s="24"/>
      <c r="G458" s="169">
        <f>IF(ISBLANK(B458),"",VLOOKUP(B458,'Imputed Interest Rates'!A$2:H$99,8))</f>
      </c>
      <c r="H458" s="2"/>
      <c r="I458" s="94"/>
      <c r="J458" s="109" t="str">
        <f t="shared" si="98"/>
        <v> </v>
      </c>
      <c r="K458" s="113" t="str">
        <f t="shared" si="99"/>
        <v> </v>
      </c>
    </row>
    <row r="459" spans="1:11" ht="14.25">
      <c r="A459" s="32"/>
      <c r="B459" s="138"/>
      <c r="C459" s="4"/>
      <c r="D459" s="8"/>
      <c r="E459" s="25">
        <f t="shared" si="97"/>
      </c>
      <c r="F459" s="24"/>
      <c r="G459" s="169">
        <f>IF(ISBLANK(B459),"",VLOOKUP(B459,'Imputed Interest Rates'!A$2:H$99,8))</f>
      </c>
      <c r="H459" s="2"/>
      <c r="I459" s="94"/>
      <c r="J459" s="109" t="str">
        <f t="shared" si="98"/>
        <v> </v>
      </c>
      <c r="K459" s="113" t="str">
        <f t="shared" si="99"/>
        <v> </v>
      </c>
    </row>
    <row r="460" spans="1:11" ht="14.25">
      <c r="A460" s="32"/>
      <c r="B460" s="138"/>
      <c r="C460" s="4"/>
      <c r="D460" s="8"/>
      <c r="E460" s="25">
        <f t="shared" si="97"/>
      </c>
      <c r="F460" s="24"/>
      <c r="G460" s="169">
        <f>IF(ISBLANK(B460),"",VLOOKUP(B460,'Imputed Interest Rates'!A$2:H$99,8))</f>
      </c>
      <c r="H460" s="2"/>
      <c r="I460" s="94"/>
      <c r="J460" s="109" t="str">
        <f t="shared" si="98"/>
        <v> </v>
      </c>
      <c r="K460" s="113" t="str">
        <f t="shared" si="99"/>
        <v> </v>
      </c>
    </row>
    <row r="461" spans="1:11" ht="14.25">
      <c r="A461" s="32"/>
      <c r="B461" s="138"/>
      <c r="C461" s="4"/>
      <c r="D461" s="8"/>
      <c r="E461" s="25">
        <f t="shared" si="97"/>
      </c>
      <c r="F461" s="24"/>
      <c r="G461" s="169">
        <f>IF(ISBLANK(B461),"",VLOOKUP(B461,'Imputed Interest Rates'!A$2:H$99,8))</f>
      </c>
      <c r="H461" s="2"/>
      <c r="I461" s="94"/>
      <c r="J461" s="109" t="str">
        <f t="shared" si="98"/>
        <v> </v>
      </c>
      <c r="K461" s="113" t="str">
        <f t="shared" si="99"/>
        <v> </v>
      </c>
    </row>
    <row r="462" spans="1:11" ht="14.25">
      <c r="A462" s="124"/>
      <c r="B462" s="142"/>
      <c r="C462" s="9"/>
      <c r="D462" s="10"/>
      <c r="E462" s="26">
        <f t="shared" si="97"/>
      </c>
      <c r="F462" s="27"/>
      <c r="G462" s="169">
        <f>IF(ISBLANK(B462),"",VLOOKUP(B462,'Imputed Interest Rates'!A$2:H$99,8))</f>
      </c>
      <c r="H462" s="42"/>
      <c r="I462" s="95"/>
      <c r="J462" s="114" t="str">
        <f t="shared" si="98"/>
        <v> </v>
      </c>
      <c r="K462" s="115" t="str">
        <f t="shared" si="99"/>
        <v> </v>
      </c>
    </row>
    <row r="463" spans="1:11" ht="14.25">
      <c r="A463" s="96" t="s">
        <v>20</v>
      </c>
      <c r="B463" s="143"/>
      <c r="C463" s="97"/>
      <c r="D463" s="98"/>
      <c r="E463" s="25">
        <f>IF(ISNUMBER(E457),SUM(E457:E462),"")</f>
      </c>
      <c r="F463" s="29"/>
      <c r="G463" s="135">
        <f>IF(ISNUMBER(G457),ROUND(SUMPRODUCT(G457:G462,E457:E462)/E463,5),"")</f>
      </c>
      <c r="H463" s="43">
        <f>IF(ISNUMBER(H457),SUMPRODUCT(H457:H462,E457:E462)/E463,"")</f>
      </c>
      <c r="I463" s="119"/>
      <c r="J463" s="109" t="str">
        <f>IF(ISNUMBER(H463),PMT(($G463/12),($H463*12),-(E463))," ")</f>
        <v> </v>
      </c>
      <c r="K463" s="112" t="str">
        <f>IF(ISNUMBER($I463),IF($C463&lt;EffectiveDate-(365*2),0,PMT(($H463/12),($I463*12),-($G463*0.7)))," ")</f>
        <v> </v>
      </c>
    </row>
    <row r="464" spans="1:11" ht="14.25">
      <c r="A464" s="99" t="s">
        <v>21</v>
      </c>
      <c r="B464" s="144"/>
      <c r="C464" s="100"/>
      <c r="D464" s="100"/>
      <c r="E464" s="28">
        <f>IF(ISNUMBER(E463),$F$23+E463,"")</f>
      </c>
      <c r="F464" s="110">
        <f>IF(ISNUMBER(#REF!),G463+$F$23,"")</f>
      </c>
      <c r="G464" s="136">
        <f>IF(ISNUMBER(G463),ROUND((E463*G463+$F$23*$G$18)/($E464),5),"")</f>
      </c>
      <c r="H464" s="44">
        <f>IF(ISNUMBER(H463),ROUND((H463*E463+$F$23*$H$18)/$E464,0),"")</f>
      </c>
      <c r="I464" s="28"/>
      <c r="J464" s="111" t="str">
        <f>IF(ISNUMBER(H464),PMT(($G464/12),($H465*12),-(E464))," ")</f>
        <v> </v>
      </c>
      <c r="K464" s="113"/>
    </row>
    <row r="465" spans="1:11" ht="71.25" customHeight="1">
      <c r="A465" s="101"/>
      <c r="B465" s="145"/>
      <c r="C465" s="102"/>
      <c r="D465" s="103"/>
      <c r="E465" s="104"/>
      <c r="F465" s="183" t="s">
        <v>26</v>
      </c>
      <c r="G465" s="184"/>
      <c r="H465" s="161">
        <f>H464</f>
      </c>
      <c r="I465" s="105" t="s">
        <v>22</v>
      </c>
      <c r="J465" s="116">
        <f>IF(ISNUMBER(E455),J464/E455,"")</f>
      </c>
      <c r="K465" s="153" t="str">
        <f>_xlfn.CONCAT("If percent increase is more than 10%, increase amortization period in cell ",ADDRESS(ROW(),8,4)," until percent increase is not more than 10%")</f>
        <v>If percent increase is more than 10%, increase amortization period in cell H465 until percent increase is not more than 10%</v>
      </c>
    </row>
    <row r="466" spans="1:11" ht="15.75" customHeight="1">
      <c r="A466" s="117"/>
      <c r="B466" s="117"/>
      <c r="C466" s="81"/>
      <c r="D466" s="82"/>
      <c r="E466" s="83"/>
      <c r="F466" s="83"/>
      <c r="G466" s="84"/>
      <c r="H466" s="85"/>
      <c r="I466" s="86"/>
      <c r="J466" s="86"/>
      <c r="K466" s="86"/>
    </row>
    <row r="467" spans="1:11" ht="14.25">
      <c r="A467" s="87" t="s">
        <v>19</v>
      </c>
      <c r="B467" s="93"/>
      <c r="C467" s="88"/>
      <c r="D467" s="87" t="s">
        <v>6</v>
      </c>
      <c r="E467" s="89"/>
      <c r="F467" s="90"/>
      <c r="G467" s="91"/>
      <c r="H467" s="91"/>
      <c r="I467" s="92"/>
      <c r="J467" s="92"/>
      <c r="K467" s="93"/>
    </row>
    <row r="468" spans="1:11" ht="64.5">
      <c r="A468" s="128" t="s">
        <v>0</v>
      </c>
      <c r="B468" s="125" t="s">
        <v>28</v>
      </c>
      <c r="C468" s="133" t="s">
        <v>1</v>
      </c>
      <c r="D468" s="128" t="s">
        <v>30</v>
      </c>
      <c r="E468" s="125" t="s">
        <v>24</v>
      </c>
      <c r="F468" s="125"/>
      <c r="G468" s="128" t="s">
        <v>14</v>
      </c>
      <c r="H468" s="127" t="s">
        <v>16</v>
      </c>
      <c r="I468" s="128"/>
      <c r="J468" s="125" t="s">
        <v>15</v>
      </c>
      <c r="K468" s="129" t="s">
        <v>10</v>
      </c>
    </row>
    <row r="469" spans="1:11" ht="14.25">
      <c r="A469" s="32"/>
      <c r="B469" s="147"/>
      <c r="C469" s="13"/>
      <c r="D469" s="12"/>
      <c r="E469" s="25">
        <f aca="true" t="shared" si="100" ref="E469:E474">IF(ISBLANK(D469),"",IF(C469&lt;PetitionDate-(365*2),0,D469*0.7))</f>
      </c>
      <c r="F469" s="24"/>
      <c r="G469" s="169">
        <f>IF(ISBLANK(B469),"",VLOOKUP(B469,'Imputed Interest Rates'!A$2:H$99,8))</f>
      </c>
      <c r="H469" s="11"/>
      <c r="I469" s="94"/>
      <c r="J469" s="109" t="str">
        <f aca="true" t="shared" si="101" ref="J469:J474">IF(ISNUMBER(H469),IF(C469&lt;EffectiveDate-(365*2),0,PMT(($G469/12),($H469*12),-(E469)))," ")</f>
        <v> </v>
      </c>
      <c r="K469" s="112" t="str">
        <f aca="true" t="shared" si="102" ref="K469:K474">IF(ISBLANK(C469)," ",IF(C469&lt;PetitionDate-(365*2),"Not timely","OK"))</f>
        <v> </v>
      </c>
    </row>
    <row r="470" spans="1:11" ht="14.25">
      <c r="A470" s="32"/>
      <c r="B470" s="155"/>
      <c r="C470" s="4"/>
      <c r="D470" s="8"/>
      <c r="E470" s="25">
        <f t="shared" si="100"/>
      </c>
      <c r="F470" s="24"/>
      <c r="G470" s="169">
        <f>IF(ISBLANK(B470),"",VLOOKUP(B470,'Imputed Interest Rates'!A$2:H$99,8))</f>
      </c>
      <c r="H470" s="2"/>
      <c r="I470" s="94"/>
      <c r="J470" s="109" t="str">
        <f t="shared" si="101"/>
        <v> </v>
      </c>
      <c r="K470" s="113" t="str">
        <f t="shared" si="102"/>
        <v> </v>
      </c>
    </row>
    <row r="471" spans="1:11" ht="14.25">
      <c r="A471" s="32"/>
      <c r="B471" s="138"/>
      <c r="C471" s="4"/>
      <c r="D471" s="8"/>
      <c r="E471" s="25">
        <f t="shared" si="100"/>
      </c>
      <c r="F471" s="24"/>
      <c r="G471" s="169">
        <f>IF(ISBLANK(B471),"",VLOOKUP(B471,'Imputed Interest Rates'!A$2:H$99,8))</f>
      </c>
      <c r="H471" s="2"/>
      <c r="I471" s="94"/>
      <c r="J471" s="109" t="str">
        <f t="shared" si="101"/>
        <v> </v>
      </c>
      <c r="K471" s="113" t="str">
        <f t="shared" si="102"/>
        <v> </v>
      </c>
    </row>
    <row r="472" spans="1:11" ht="14.25">
      <c r="A472" s="32"/>
      <c r="B472" s="138"/>
      <c r="C472" s="4"/>
      <c r="D472" s="8"/>
      <c r="E472" s="25">
        <f t="shared" si="100"/>
      </c>
      <c r="F472" s="24"/>
      <c r="G472" s="169">
        <f>IF(ISBLANK(B472),"",VLOOKUP(B472,'Imputed Interest Rates'!A$2:H$99,8))</f>
      </c>
      <c r="H472" s="2"/>
      <c r="I472" s="94"/>
      <c r="J472" s="109" t="str">
        <f t="shared" si="101"/>
        <v> </v>
      </c>
      <c r="K472" s="113" t="str">
        <f t="shared" si="102"/>
        <v> </v>
      </c>
    </row>
    <row r="473" spans="1:11" ht="14.25">
      <c r="A473" s="32"/>
      <c r="B473" s="138"/>
      <c r="C473" s="4"/>
      <c r="D473" s="8"/>
      <c r="E473" s="25">
        <f t="shared" si="100"/>
      </c>
      <c r="F473" s="24"/>
      <c r="G473" s="169">
        <f>IF(ISBLANK(B473),"",VLOOKUP(B473,'Imputed Interest Rates'!A$2:H$99,8))</f>
      </c>
      <c r="H473" s="2"/>
      <c r="I473" s="94"/>
      <c r="J473" s="109" t="str">
        <f t="shared" si="101"/>
        <v> </v>
      </c>
      <c r="K473" s="113" t="str">
        <f t="shared" si="102"/>
        <v> </v>
      </c>
    </row>
    <row r="474" spans="1:11" ht="14.25">
      <c r="A474" s="124"/>
      <c r="B474" s="142"/>
      <c r="C474" s="9"/>
      <c r="D474" s="10"/>
      <c r="E474" s="26">
        <f t="shared" si="100"/>
      </c>
      <c r="F474" s="27"/>
      <c r="G474" s="169">
        <f>IF(ISBLANK(B474),"",VLOOKUP(B474,'Imputed Interest Rates'!A$2:H$99,8))</f>
      </c>
      <c r="H474" s="42"/>
      <c r="I474" s="95"/>
      <c r="J474" s="114" t="str">
        <f t="shared" si="101"/>
        <v> </v>
      </c>
      <c r="K474" s="115" t="str">
        <f t="shared" si="102"/>
        <v> </v>
      </c>
    </row>
    <row r="475" spans="1:11" ht="14.25">
      <c r="A475" s="96" t="s">
        <v>20</v>
      </c>
      <c r="B475" s="143"/>
      <c r="C475" s="97"/>
      <c r="D475" s="98"/>
      <c r="E475" s="25">
        <f>IF(ISNUMBER(E469),SUM(E469:E474),"")</f>
      </c>
      <c r="F475" s="29"/>
      <c r="G475" s="135">
        <f>IF(ISNUMBER(G469),ROUND(SUMPRODUCT(G469:G474,E469:E474)/E475,5),"")</f>
      </c>
      <c r="H475" s="43">
        <f>IF(ISNUMBER(H469),SUMPRODUCT(H469:H474,E469:E474)/E475,"")</f>
      </c>
      <c r="I475" s="119"/>
      <c r="J475" s="109" t="str">
        <f>IF(ISNUMBER(H475),PMT(($G475/12),($H475*12),-(E475))," ")</f>
        <v> </v>
      </c>
      <c r="K475" s="112" t="str">
        <f>IF(ISNUMBER($I475),IF($C475&lt;EffectiveDate-(365*2),0,PMT(($H475/12),($I475*12),-($G475*0.7)))," ")</f>
        <v> </v>
      </c>
    </row>
    <row r="476" spans="1:11" ht="14.25">
      <c r="A476" s="99" t="s">
        <v>21</v>
      </c>
      <c r="B476" s="144"/>
      <c r="C476" s="100"/>
      <c r="D476" s="100"/>
      <c r="E476" s="28">
        <f>IF(ISNUMBER(E475),$F$23+E475,"")</f>
      </c>
      <c r="F476" s="110">
        <f>IF(ISNUMBER(#REF!),G475+$F$23,"")</f>
      </c>
      <c r="G476" s="136">
        <f>IF(ISNUMBER(G475),ROUND((E475*G475+$F$23*$G$18)/($E476),5),"")</f>
      </c>
      <c r="H476" s="44">
        <f>IF(ISNUMBER(H475),ROUND((H475*E475+$F$23*$H$18)/$E476,0),"")</f>
      </c>
      <c r="I476" s="28"/>
      <c r="J476" s="111" t="str">
        <f>IF(ISNUMBER(H476),PMT(($G476/12),($H477*12),-(E476))," ")</f>
        <v> </v>
      </c>
      <c r="K476" s="113"/>
    </row>
    <row r="477" spans="1:11" ht="72">
      <c r="A477" s="101"/>
      <c r="B477" s="145"/>
      <c r="C477" s="102"/>
      <c r="D477" s="103"/>
      <c r="E477" s="104"/>
      <c r="F477" s="183" t="s">
        <v>26</v>
      </c>
      <c r="G477" s="184"/>
      <c r="H477" s="161">
        <f>H476</f>
      </c>
      <c r="I477" s="105" t="s">
        <v>22</v>
      </c>
      <c r="J477" s="116">
        <f>IF(ISNUMBER(E467),J476/E467,"")</f>
      </c>
      <c r="K477" s="153" t="str">
        <f>_xlfn.CONCAT("If percent increase is more than 10%, increase amortization period in cell ",ADDRESS(ROW(),8,4)," until percent increase is not more than 10%")</f>
        <v>If percent increase is more than 10%, increase amortization period in cell H477 until percent increase is not more than 10%</v>
      </c>
    </row>
  </sheetData>
  <sheetProtection sheet="1" objects="1" scenarios="1"/>
  <mergeCells count="33">
    <mergeCell ref="F152:G152"/>
    <mergeCell ref="F164:G164"/>
    <mergeCell ref="F179:G179"/>
    <mergeCell ref="F74:G74"/>
    <mergeCell ref="A25:K25"/>
    <mergeCell ref="F86:G86"/>
    <mergeCell ref="F100:G100"/>
    <mergeCell ref="F112:G112"/>
    <mergeCell ref="F126:G126"/>
    <mergeCell ref="F138:G138"/>
    <mergeCell ref="F191:G191"/>
    <mergeCell ref="F205:G205"/>
    <mergeCell ref="F217:G217"/>
    <mergeCell ref="F231:G231"/>
    <mergeCell ref="F243:G243"/>
    <mergeCell ref="F257:G257"/>
    <mergeCell ref="F269:G269"/>
    <mergeCell ref="F283:G283"/>
    <mergeCell ref="F295:G295"/>
    <mergeCell ref="F309:G309"/>
    <mergeCell ref="F321:G321"/>
    <mergeCell ref="F335:G335"/>
    <mergeCell ref="F347:G347"/>
    <mergeCell ref="F361:G361"/>
    <mergeCell ref="F373:G373"/>
    <mergeCell ref="F451:G451"/>
    <mergeCell ref="F465:G465"/>
    <mergeCell ref="F477:G477"/>
    <mergeCell ref="F387:G387"/>
    <mergeCell ref="F399:G399"/>
    <mergeCell ref="F413:G413"/>
    <mergeCell ref="F425:G425"/>
    <mergeCell ref="F439:G439"/>
  </mergeCells>
  <printOptions/>
  <pageMargins left="0.7" right="0.7" top="0.75" bottom="0.75" header="0.3" footer="0.3"/>
  <pageSetup fitToHeight="0" fitToWidth="1" horizontalDpi="600" verticalDpi="600" orientation="landscape" scale="73" r:id="rId1"/>
  <headerFooter>
    <oddHeader>&amp;CCapital Improvement Calculator
City of Oakland Rent Adjustment Program</oddHeader>
    <oddFooter>&amp;CPage &amp;P of &amp;N</oddFooter>
  </headerFooter>
  <rowBreaks count="17" manualBreakCount="17">
    <brk id="24" max="255" man="1"/>
    <brk id="62" max="255" man="1"/>
    <brk id="87" max="255" man="1"/>
    <brk id="113" max="255" man="1"/>
    <brk id="139" max="255" man="1"/>
    <brk id="166" max="255" man="1"/>
    <brk id="192" max="255" man="1"/>
    <brk id="218" max="255" man="1"/>
    <brk id="244" max="255" man="1"/>
    <brk id="270" max="255" man="1"/>
    <brk id="296" max="255" man="1"/>
    <brk id="322" max="255" man="1"/>
    <brk id="348" max="255" man="1"/>
    <brk id="374" max="255" man="1"/>
    <brk id="400" max="255" man="1"/>
    <brk id="426" max="255" man="1"/>
    <brk id="452" max="255" man="1"/>
  </rowBreaks>
  <ignoredErrors>
    <ignoredError sqref="H74 H126 H11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I26" sqref="I26"/>
    </sheetView>
  </sheetViews>
  <sheetFormatPr defaultColWidth="9.140625" defaultRowHeight="15"/>
  <cols>
    <col min="1" max="1" width="20.57421875" style="0" bestFit="1" customWidth="1"/>
    <col min="2" max="2" width="16.8515625" style="0" hidden="1" customWidth="1"/>
    <col min="3" max="3" width="9.140625" style="0" hidden="1" customWidth="1"/>
    <col min="4" max="4" width="22.28125" style="0" hidden="1" customWidth="1"/>
    <col min="5" max="5" width="9.140625" style="0" hidden="1" customWidth="1"/>
    <col min="6" max="6" width="9.140625" style="0" customWidth="1"/>
    <col min="7" max="7" width="17.28125" style="0" customWidth="1"/>
    <col min="8" max="8" width="16.7109375" style="0" bestFit="1" customWidth="1"/>
  </cols>
  <sheetData>
    <row r="1" spans="1:8" ht="14.25">
      <c r="A1" s="162" t="s">
        <v>142</v>
      </c>
      <c r="B1" s="162" t="s">
        <v>33</v>
      </c>
      <c r="C1" s="162"/>
      <c r="D1" s="162" t="s">
        <v>34</v>
      </c>
      <c r="E1" s="162"/>
      <c r="F1" s="162" t="s">
        <v>35</v>
      </c>
      <c r="G1" s="162"/>
      <c r="H1" s="162" t="s">
        <v>14</v>
      </c>
    </row>
    <row r="2" spans="1:8" s="171" customFormat="1" ht="14.25">
      <c r="A2" s="170">
        <v>42005</v>
      </c>
      <c r="H2" s="172" t="s">
        <v>144</v>
      </c>
    </row>
    <row r="3" spans="1:10" ht="14.25">
      <c r="A3" s="163">
        <v>42095</v>
      </c>
      <c r="B3" s="164">
        <v>0.02032</v>
      </c>
      <c r="D3" s="164">
        <v>0.01934</v>
      </c>
      <c r="F3" s="164">
        <f aca="true" t="shared" si="0" ref="F3:F19">(B3+D3)/2</f>
        <v>0.01983</v>
      </c>
      <c r="G3" s="170">
        <v>42094</v>
      </c>
      <c r="H3" s="164">
        <f>F3+1.5%</f>
        <v>0.03483</v>
      </c>
      <c r="J3" s="167"/>
    </row>
    <row r="4" spans="1:10" ht="14.25">
      <c r="A4" s="163">
        <v>42186</v>
      </c>
      <c r="B4" s="164">
        <v>0.02458</v>
      </c>
      <c r="D4" s="164">
        <v>0.02335</v>
      </c>
      <c r="E4" s="164"/>
      <c r="F4" s="164">
        <f t="shared" si="0"/>
        <v>0.023965</v>
      </c>
      <c r="G4" s="163">
        <v>42185</v>
      </c>
      <c r="H4" s="164">
        <f aca="true" t="shared" si="1" ref="H4:H19">F4+1.5%</f>
        <v>0.038965</v>
      </c>
      <c r="J4" s="167"/>
    </row>
    <row r="5" spans="1:10" ht="14.25">
      <c r="A5" s="163">
        <v>42278</v>
      </c>
      <c r="B5" s="164">
        <v>0.02007</v>
      </c>
      <c r="D5" s="164">
        <v>0.0206</v>
      </c>
      <c r="E5" s="164"/>
      <c r="F5" s="164">
        <f t="shared" si="0"/>
        <v>0.020335</v>
      </c>
      <c r="G5" s="163">
        <v>42277</v>
      </c>
      <c r="H5" s="164">
        <f t="shared" si="1"/>
        <v>0.035335</v>
      </c>
      <c r="J5" s="167"/>
    </row>
    <row r="6" spans="1:10" ht="14.25">
      <c r="A6" s="163">
        <v>42370</v>
      </c>
      <c r="B6" s="164">
        <v>0.02183</v>
      </c>
      <c r="D6" s="164">
        <v>0.02269</v>
      </c>
      <c r="E6" s="164"/>
      <c r="F6" s="164">
        <f t="shared" si="0"/>
        <v>0.02226</v>
      </c>
      <c r="G6" s="163">
        <v>42369</v>
      </c>
      <c r="H6" s="164">
        <f t="shared" si="1"/>
        <v>0.03726</v>
      </c>
      <c r="J6" s="167"/>
    </row>
    <row r="7" spans="1:10" ht="14.25">
      <c r="A7" s="163">
        <v>42461</v>
      </c>
      <c r="B7" s="164">
        <v>0.01666</v>
      </c>
      <c r="D7" s="164">
        <v>0.01786</v>
      </c>
      <c r="E7" s="164"/>
      <c r="F7" s="164">
        <f t="shared" si="0"/>
        <v>0.01726</v>
      </c>
      <c r="G7" s="163">
        <v>42460</v>
      </c>
      <c r="H7" s="164">
        <f t="shared" si="1"/>
        <v>0.03226</v>
      </c>
      <c r="J7" s="167"/>
    </row>
    <row r="8" spans="1:10" ht="14.25">
      <c r="A8" s="163">
        <v>42552</v>
      </c>
      <c r="B8" s="164">
        <v>0.01369</v>
      </c>
      <c r="D8" s="164">
        <v>0.01488</v>
      </c>
      <c r="E8" s="164"/>
      <c r="F8" s="164">
        <f t="shared" si="0"/>
        <v>0.014285</v>
      </c>
      <c r="G8" s="163">
        <v>42551</v>
      </c>
      <c r="H8" s="164">
        <f t="shared" si="1"/>
        <v>0.029285</v>
      </c>
      <c r="J8" s="167"/>
    </row>
    <row r="9" spans="1:8" ht="14.25">
      <c r="A9" s="163">
        <v>42644</v>
      </c>
      <c r="B9" s="164">
        <v>0.01436</v>
      </c>
      <c r="D9" s="164">
        <v>0.01608</v>
      </c>
      <c r="E9" s="164"/>
      <c r="F9" s="164">
        <f t="shared" si="0"/>
        <v>0.015220000000000001</v>
      </c>
      <c r="G9" s="163">
        <v>42643</v>
      </c>
      <c r="H9" s="164">
        <f t="shared" si="1"/>
        <v>0.03022</v>
      </c>
    </row>
    <row r="10" spans="1:8" ht="14.25">
      <c r="A10" s="163">
        <v>42736</v>
      </c>
      <c r="B10" s="164">
        <v>0.02348</v>
      </c>
      <c r="D10" s="164">
        <v>0.02446</v>
      </c>
      <c r="E10" s="164"/>
      <c r="F10" s="164">
        <f t="shared" si="0"/>
        <v>0.023969999999999998</v>
      </c>
      <c r="G10" s="163">
        <v>42735</v>
      </c>
      <c r="H10" s="164">
        <f t="shared" si="1"/>
        <v>0.03897</v>
      </c>
    </row>
    <row r="11" spans="1:8" ht="14.25">
      <c r="A11" s="163">
        <v>42826</v>
      </c>
      <c r="B11" s="164">
        <v>0.02401</v>
      </c>
      <c r="D11" s="164">
        <v>0.02396</v>
      </c>
      <c r="E11" s="164"/>
      <c r="F11" s="164">
        <f t="shared" si="0"/>
        <v>0.023985</v>
      </c>
      <c r="G11" s="163">
        <v>42825</v>
      </c>
      <c r="H11" s="164">
        <f t="shared" si="1"/>
        <v>0.038985</v>
      </c>
    </row>
    <row r="12" spans="1:8" ht="14.25">
      <c r="A12" s="181">
        <v>42917</v>
      </c>
      <c r="B12" s="182">
        <v>0.02263</v>
      </c>
      <c r="C12" s="180"/>
      <c r="D12" s="182">
        <v>0.023</v>
      </c>
      <c r="E12" s="180"/>
      <c r="F12" s="182">
        <f t="shared" si="0"/>
        <v>0.022815000000000002</v>
      </c>
      <c r="G12" s="163">
        <v>42916</v>
      </c>
      <c r="H12" s="182">
        <f t="shared" si="1"/>
        <v>0.037815</v>
      </c>
    </row>
    <row r="13" spans="1:8" ht="14.25">
      <c r="A13" s="178">
        <v>43009</v>
      </c>
      <c r="B13" s="179">
        <v>0.02277</v>
      </c>
      <c r="C13" s="177"/>
      <c r="D13" s="179">
        <v>0.0233</v>
      </c>
      <c r="F13" s="182">
        <f t="shared" si="0"/>
        <v>0.023035</v>
      </c>
      <c r="G13" s="163">
        <v>43007</v>
      </c>
      <c r="H13" s="182">
        <f t="shared" si="1"/>
        <v>0.038035</v>
      </c>
    </row>
    <row r="14" spans="1:8" ht="14.25">
      <c r="A14" s="181">
        <v>43101</v>
      </c>
      <c r="B14" s="182">
        <v>0.02405</v>
      </c>
      <c r="D14" s="182">
        <v>0.024</v>
      </c>
      <c r="F14" s="182">
        <f t="shared" si="0"/>
        <v>0.024024999999999998</v>
      </c>
      <c r="G14" s="181">
        <v>43098</v>
      </c>
      <c r="H14" s="182">
        <f t="shared" si="1"/>
        <v>0.039025</v>
      </c>
    </row>
    <row r="15" spans="1:8" ht="14.25">
      <c r="A15" s="181">
        <v>43191</v>
      </c>
      <c r="B15" s="182">
        <v>0.02789</v>
      </c>
      <c r="D15" s="182">
        <v>0.0274</v>
      </c>
      <c r="F15" s="182">
        <f t="shared" si="0"/>
        <v>0.027645000000000003</v>
      </c>
      <c r="G15" s="181">
        <v>43188</v>
      </c>
      <c r="H15" s="182">
        <f t="shared" si="1"/>
        <v>0.042645</v>
      </c>
    </row>
    <row r="16" spans="1:8" ht="14.25">
      <c r="A16" s="181">
        <v>43282</v>
      </c>
      <c r="B16" s="182">
        <v>0.0292</v>
      </c>
      <c r="D16" s="182">
        <v>0.0285</v>
      </c>
      <c r="F16" s="182">
        <f t="shared" si="0"/>
        <v>0.02885</v>
      </c>
      <c r="G16" s="181">
        <v>43280</v>
      </c>
      <c r="H16" s="182">
        <f t="shared" si="1"/>
        <v>0.04385</v>
      </c>
    </row>
    <row r="17" spans="1:8" ht="14.25">
      <c r="A17" s="181">
        <v>43374</v>
      </c>
      <c r="B17" s="182">
        <v>0.03124</v>
      </c>
      <c r="D17" s="182">
        <v>0.0308</v>
      </c>
      <c r="F17" s="182">
        <f t="shared" si="0"/>
        <v>0.03102</v>
      </c>
      <c r="G17" s="181">
        <v>43373</v>
      </c>
      <c r="H17" s="182">
        <f t="shared" si="1"/>
        <v>0.04602</v>
      </c>
    </row>
    <row r="18" spans="1:8" ht="14.25">
      <c r="A18" s="181">
        <v>43466</v>
      </c>
      <c r="B18" s="182">
        <v>0.02702</v>
      </c>
      <c r="D18" s="182">
        <v>0.02686</v>
      </c>
      <c r="F18" s="182">
        <f t="shared" si="0"/>
        <v>0.02694</v>
      </c>
      <c r="G18" s="181">
        <v>43465</v>
      </c>
      <c r="H18" s="182">
        <f t="shared" si="1"/>
        <v>0.04194</v>
      </c>
    </row>
    <row r="19" spans="1:8" ht="14.25">
      <c r="A19" s="181">
        <v>43556</v>
      </c>
      <c r="B19" s="182">
        <v>0.02416</v>
      </c>
      <c r="D19" s="182">
        <v>0.02414</v>
      </c>
      <c r="F19" s="182">
        <f t="shared" si="0"/>
        <v>0.02415</v>
      </c>
      <c r="G19" s="181">
        <v>43553</v>
      </c>
      <c r="H19" s="182">
        <f t="shared" si="1"/>
        <v>0.039150000000000004</v>
      </c>
    </row>
  </sheetData>
  <sheetProtection sheet="1" objects="1" scenarios="1" selectLockedCells="1" selectUnlockedCells="1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2:J180"/>
  <sheetViews>
    <sheetView zoomScalePageLayoutView="0" workbookViewId="0" topLeftCell="A73">
      <selection activeCell="E60" sqref="E60"/>
    </sheetView>
  </sheetViews>
  <sheetFormatPr defaultColWidth="9.140625" defaultRowHeight="15"/>
  <cols>
    <col min="4" max="4" width="9.421875" style="0" customWidth="1"/>
    <col min="5" max="5" width="19.7109375" style="0" customWidth="1"/>
    <col min="6" max="6" width="17.7109375" style="0" customWidth="1"/>
    <col min="7" max="7" width="5.421875" style="0" bestFit="1" customWidth="1"/>
    <col min="8" max="8" width="6.8515625" style="0" customWidth="1"/>
  </cols>
  <sheetData>
    <row r="2" spans="6:10" ht="14.25">
      <c r="F2" s="188" t="s">
        <v>36</v>
      </c>
      <c r="G2" s="188"/>
      <c r="H2" s="188"/>
      <c r="I2" s="188"/>
      <c r="J2" s="188"/>
    </row>
    <row r="3" spans="4:8" ht="14.25">
      <c r="D3" s="166" t="s">
        <v>38</v>
      </c>
      <c r="E3" s="162"/>
      <c r="F3" s="162"/>
      <c r="G3" s="162"/>
      <c r="H3" s="166" t="s">
        <v>39</v>
      </c>
    </row>
    <row r="4" spans="4:7" ht="14.25">
      <c r="D4" s="165"/>
      <c r="G4" s="165"/>
    </row>
    <row r="5" spans="4:8" ht="14.25">
      <c r="D5" s="165" t="s">
        <v>37</v>
      </c>
      <c r="H5">
        <v>10</v>
      </c>
    </row>
    <row r="7" ht="14.25">
      <c r="D7" s="165" t="s">
        <v>40</v>
      </c>
    </row>
    <row r="8" spans="4:8" ht="14.25">
      <c r="D8" s="165"/>
      <c r="E8" t="s">
        <v>41</v>
      </c>
      <c r="H8">
        <v>5</v>
      </c>
    </row>
    <row r="9" spans="4:8" ht="14.25">
      <c r="D9" s="165"/>
      <c r="E9" t="s">
        <v>42</v>
      </c>
      <c r="H9">
        <v>5</v>
      </c>
    </row>
    <row r="10" spans="4:8" ht="14.25">
      <c r="D10" s="165"/>
      <c r="E10" t="s">
        <v>43</v>
      </c>
      <c r="H10">
        <v>5</v>
      </c>
    </row>
    <row r="11" spans="4:8" ht="14.25">
      <c r="D11" s="165"/>
      <c r="E11" t="s">
        <v>44</v>
      </c>
      <c r="H11">
        <v>5</v>
      </c>
    </row>
    <row r="12" spans="4:8" ht="14.25">
      <c r="D12" s="165"/>
      <c r="E12" t="s">
        <v>45</v>
      </c>
      <c r="H12">
        <v>5</v>
      </c>
    </row>
    <row r="13" spans="4:8" ht="14.25">
      <c r="D13" s="165"/>
      <c r="E13" t="s">
        <v>46</v>
      </c>
      <c r="H13">
        <v>5</v>
      </c>
    </row>
    <row r="14" spans="4:8" ht="14.25">
      <c r="D14" s="165"/>
      <c r="E14" t="s">
        <v>47</v>
      </c>
      <c r="H14">
        <v>5</v>
      </c>
    </row>
    <row r="15" spans="4:8" ht="14.25">
      <c r="D15" s="165"/>
      <c r="E15" t="s">
        <v>48</v>
      </c>
      <c r="H15">
        <v>5</v>
      </c>
    </row>
    <row r="16" ht="14.25">
      <c r="D16" s="165"/>
    </row>
    <row r="17" spans="4:8" ht="14.25">
      <c r="D17" s="165" t="s">
        <v>49</v>
      </c>
      <c r="H17">
        <v>10</v>
      </c>
    </row>
    <row r="18" ht="14.25">
      <c r="D18" s="165"/>
    </row>
    <row r="19" spans="4:8" ht="14.25">
      <c r="D19" s="165" t="s">
        <v>50</v>
      </c>
      <c r="H19">
        <v>10</v>
      </c>
    </row>
    <row r="20" ht="14.25">
      <c r="D20" s="165"/>
    </row>
    <row r="21" spans="4:8" ht="14.25">
      <c r="D21" s="165" t="s">
        <v>51</v>
      </c>
      <c r="H21">
        <v>10</v>
      </c>
    </row>
    <row r="22" ht="14.25">
      <c r="D22" s="165"/>
    </row>
    <row r="23" spans="4:8" ht="14.25">
      <c r="D23" s="165" t="s">
        <v>52</v>
      </c>
      <c r="H23">
        <v>10</v>
      </c>
    </row>
    <row r="24" spans="4:8" ht="14.25">
      <c r="D24" s="165"/>
      <c r="E24" t="s">
        <v>53</v>
      </c>
      <c r="H24">
        <v>5</v>
      </c>
    </row>
    <row r="25" spans="4:8" ht="14.25">
      <c r="D25" s="165"/>
      <c r="E25" t="s">
        <v>54</v>
      </c>
      <c r="H25">
        <v>5</v>
      </c>
    </row>
    <row r="26" ht="14.25">
      <c r="D26" s="165"/>
    </row>
    <row r="27" ht="14.25">
      <c r="D27" s="165" t="s">
        <v>55</v>
      </c>
    </row>
    <row r="28" spans="4:8" ht="14.25">
      <c r="D28" s="165"/>
      <c r="E28" t="s">
        <v>56</v>
      </c>
      <c r="H28">
        <v>5</v>
      </c>
    </row>
    <row r="29" spans="4:5" ht="14.25">
      <c r="D29" s="165"/>
      <c r="E29" t="s">
        <v>57</v>
      </c>
    </row>
    <row r="30" spans="4:8" ht="14.25">
      <c r="D30" s="165"/>
      <c r="F30" t="s">
        <v>58</v>
      </c>
      <c r="H30">
        <v>5</v>
      </c>
    </row>
    <row r="31" spans="4:8" ht="14.25">
      <c r="D31" s="165"/>
      <c r="F31" t="s">
        <v>59</v>
      </c>
      <c r="H31">
        <v>5</v>
      </c>
    </row>
    <row r="32" spans="4:8" ht="14.25">
      <c r="D32" s="165"/>
      <c r="F32" t="s">
        <v>60</v>
      </c>
      <c r="H32">
        <v>5</v>
      </c>
    </row>
    <row r="33" spans="4:8" ht="14.25">
      <c r="D33" s="165"/>
      <c r="F33" t="s">
        <v>61</v>
      </c>
      <c r="H33">
        <v>5</v>
      </c>
    </row>
    <row r="34" ht="14.25">
      <c r="D34" s="165"/>
    </row>
    <row r="35" spans="4:5" ht="14.25">
      <c r="D35" s="165"/>
      <c r="E35" t="s">
        <v>62</v>
      </c>
    </row>
    <row r="36" spans="4:8" ht="14.25">
      <c r="D36" s="165"/>
      <c r="F36" t="s">
        <v>63</v>
      </c>
      <c r="H36">
        <v>10</v>
      </c>
    </row>
    <row r="37" spans="4:8" ht="14.25">
      <c r="D37" s="165"/>
      <c r="F37" t="s">
        <v>64</v>
      </c>
      <c r="H37">
        <v>20</v>
      </c>
    </row>
    <row r="38" spans="4:8" ht="14.25">
      <c r="D38" s="165"/>
      <c r="F38" t="s">
        <v>65</v>
      </c>
      <c r="H38">
        <v>20</v>
      </c>
    </row>
    <row r="39" spans="4:8" ht="14.25">
      <c r="D39" s="165"/>
      <c r="F39" t="s">
        <v>66</v>
      </c>
      <c r="H39">
        <v>20</v>
      </c>
    </row>
    <row r="40" spans="4:8" ht="14.25">
      <c r="D40" s="165"/>
      <c r="F40" t="s">
        <v>67</v>
      </c>
      <c r="H40">
        <v>20</v>
      </c>
    </row>
    <row r="41" spans="4:8" ht="14.25">
      <c r="D41" s="165"/>
      <c r="F41" t="s">
        <v>68</v>
      </c>
      <c r="H41">
        <v>10</v>
      </c>
    </row>
    <row r="42" ht="14.25">
      <c r="D42" s="165"/>
    </row>
    <row r="43" spans="4:8" ht="14.25">
      <c r="D43" s="165" t="s">
        <v>69</v>
      </c>
      <c r="H43">
        <v>10</v>
      </c>
    </row>
    <row r="44" ht="14.25">
      <c r="D44" s="165"/>
    </row>
    <row r="45" spans="4:8" ht="14.25">
      <c r="D45" s="165" t="s">
        <v>70</v>
      </c>
      <c r="H45">
        <v>20</v>
      </c>
    </row>
    <row r="46" ht="14.25">
      <c r="D46" s="165"/>
    </row>
    <row r="47" ht="14.25">
      <c r="D47" s="165" t="s">
        <v>59</v>
      </c>
    </row>
    <row r="48" spans="4:8" ht="14.25">
      <c r="D48" s="165"/>
      <c r="E48" t="s">
        <v>71</v>
      </c>
      <c r="H48">
        <v>10</v>
      </c>
    </row>
    <row r="49" spans="4:8" ht="14.25">
      <c r="D49" s="165"/>
      <c r="E49" t="s">
        <v>72</v>
      </c>
      <c r="H49">
        <v>10</v>
      </c>
    </row>
    <row r="50" spans="4:8" ht="14.25">
      <c r="D50" s="165"/>
      <c r="E50" t="s">
        <v>73</v>
      </c>
      <c r="H50">
        <v>10</v>
      </c>
    </row>
    <row r="51" ht="14.25">
      <c r="D51" s="165"/>
    </row>
    <row r="52" spans="4:8" ht="14.25">
      <c r="D52" s="165" t="s">
        <v>74</v>
      </c>
      <c r="H52">
        <v>10</v>
      </c>
    </row>
    <row r="53" ht="14.25">
      <c r="D53" s="165"/>
    </row>
    <row r="54" spans="4:8" ht="14.25">
      <c r="D54" s="165" t="s">
        <v>143</v>
      </c>
      <c r="H54">
        <v>20</v>
      </c>
    </row>
    <row r="55" ht="14.25">
      <c r="D55" s="165"/>
    </row>
    <row r="56" spans="4:8" ht="14.25">
      <c r="D56" s="165" t="s">
        <v>75</v>
      </c>
      <c r="H56">
        <v>10</v>
      </c>
    </row>
    <row r="57" ht="14.25">
      <c r="D57" s="165"/>
    </row>
    <row r="58" ht="14.25">
      <c r="D58" s="165" t="s">
        <v>76</v>
      </c>
    </row>
    <row r="59" spans="4:8" ht="14.25">
      <c r="D59" s="165"/>
      <c r="E59" t="s">
        <v>77</v>
      </c>
      <c r="H59">
        <v>10</v>
      </c>
    </row>
    <row r="60" spans="4:8" ht="14.25">
      <c r="D60" s="165"/>
      <c r="E60" t="s">
        <v>78</v>
      </c>
      <c r="H60">
        <v>5</v>
      </c>
    </row>
    <row r="61" spans="4:8" ht="14.25">
      <c r="D61" s="165"/>
      <c r="E61" t="s">
        <v>79</v>
      </c>
      <c r="H61">
        <v>5</v>
      </c>
    </row>
    <row r="62" spans="4:8" ht="14.25">
      <c r="D62" s="165"/>
      <c r="E62" t="s">
        <v>80</v>
      </c>
      <c r="H62">
        <v>5</v>
      </c>
    </row>
    <row r="63" spans="4:8" ht="14.25">
      <c r="D63" s="165"/>
      <c r="E63" t="s">
        <v>81</v>
      </c>
      <c r="H63">
        <v>10</v>
      </c>
    </row>
    <row r="64" ht="14.25">
      <c r="D64" s="165"/>
    </row>
    <row r="65" ht="14.25">
      <c r="D65" s="165" t="s">
        <v>82</v>
      </c>
    </row>
    <row r="66" spans="4:8" ht="14.25">
      <c r="D66" s="165"/>
      <c r="E66" t="s">
        <v>83</v>
      </c>
      <c r="H66">
        <v>5</v>
      </c>
    </row>
    <row r="67" ht="14.25">
      <c r="D67" s="165"/>
    </row>
    <row r="68" spans="4:8" ht="14.25">
      <c r="D68" s="165" t="s">
        <v>84</v>
      </c>
      <c r="H68">
        <v>5</v>
      </c>
    </row>
    <row r="69" ht="14.25">
      <c r="D69" s="165"/>
    </row>
    <row r="70" spans="4:8" ht="14.25">
      <c r="D70" s="165" t="s">
        <v>85</v>
      </c>
      <c r="H70">
        <v>10</v>
      </c>
    </row>
    <row r="71" ht="14.25">
      <c r="D71" s="165"/>
    </row>
    <row r="72" ht="14.25">
      <c r="D72" s="165" t="s">
        <v>86</v>
      </c>
    </row>
    <row r="73" spans="4:8" ht="14.25">
      <c r="D73" s="165"/>
      <c r="E73" t="s">
        <v>87</v>
      </c>
      <c r="H73">
        <v>10</v>
      </c>
    </row>
    <row r="74" spans="4:8" ht="14.25">
      <c r="D74" s="165"/>
      <c r="E74" t="s">
        <v>88</v>
      </c>
      <c r="H74">
        <v>10</v>
      </c>
    </row>
    <row r="75" spans="4:8" ht="14.25">
      <c r="D75" s="165"/>
      <c r="E75" t="s">
        <v>73</v>
      </c>
      <c r="H75">
        <v>10</v>
      </c>
    </row>
    <row r="76" ht="14.25">
      <c r="D76" s="165"/>
    </row>
    <row r="77" ht="14.25">
      <c r="D77" s="165" t="s">
        <v>89</v>
      </c>
    </row>
    <row r="78" spans="4:8" ht="14.25">
      <c r="D78" s="165"/>
      <c r="E78" t="s">
        <v>90</v>
      </c>
      <c r="H78">
        <v>5</v>
      </c>
    </row>
    <row r="79" spans="4:8" ht="14.25">
      <c r="D79" s="165"/>
      <c r="E79" t="s">
        <v>52</v>
      </c>
      <c r="H79">
        <v>5</v>
      </c>
    </row>
    <row r="80" spans="4:8" ht="14.25">
      <c r="D80" s="165"/>
      <c r="E80" t="s">
        <v>91</v>
      </c>
      <c r="H80">
        <v>5</v>
      </c>
    </row>
    <row r="81" ht="14.25">
      <c r="D81" s="165"/>
    </row>
    <row r="82" ht="14.25">
      <c r="D82" s="165" t="s">
        <v>92</v>
      </c>
    </row>
    <row r="83" spans="4:8" ht="14.25">
      <c r="D83" s="165"/>
      <c r="E83" t="s">
        <v>93</v>
      </c>
      <c r="H83">
        <v>10</v>
      </c>
    </row>
    <row r="84" spans="4:8" ht="14.25">
      <c r="D84" s="165"/>
      <c r="E84" t="s">
        <v>94</v>
      </c>
      <c r="H84">
        <v>10</v>
      </c>
    </row>
    <row r="85" spans="4:8" ht="14.25">
      <c r="D85" s="165"/>
      <c r="E85" t="s">
        <v>95</v>
      </c>
      <c r="H85">
        <v>10</v>
      </c>
    </row>
    <row r="86" spans="4:8" ht="14.25">
      <c r="D86" s="165"/>
      <c r="E86" t="s">
        <v>96</v>
      </c>
      <c r="H86">
        <v>10</v>
      </c>
    </row>
    <row r="87" ht="14.25">
      <c r="D87" s="165"/>
    </row>
    <row r="88" spans="4:8" ht="14.25">
      <c r="D88" s="165" t="s">
        <v>97</v>
      </c>
      <c r="H88">
        <v>10</v>
      </c>
    </row>
    <row r="89" ht="14.25">
      <c r="D89" s="165"/>
    </row>
    <row r="90" ht="14.25">
      <c r="D90" s="165" t="s">
        <v>98</v>
      </c>
    </row>
    <row r="91" spans="4:8" ht="14.25">
      <c r="D91" s="165"/>
      <c r="E91" t="s">
        <v>99</v>
      </c>
      <c r="H91">
        <v>10</v>
      </c>
    </row>
    <row r="92" spans="4:8" ht="14.25">
      <c r="D92" s="165"/>
      <c r="E92" t="s">
        <v>100</v>
      </c>
      <c r="H92">
        <v>10</v>
      </c>
    </row>
    <row r="93" spans="4:8" ht="14.25">
      <c r="D93" s="165"/>
      <c r="E93" t="s">
        <v>101</v>
      </c>
      <c r="H93">
        <v>10</v>
      </c>
    </row>
    <row r="94" ht="14.25">
      <c r="D94" s="165"/>
    </row>
    <row r="95" ht="14.25">
      <c r="D95" s="165" t="s">
        <v>102</v>
      </c>
    </row>
    <row r="96" spans="4:8" ht="14.25">
      <c r="D96" s="165"/>
      <c r="E96" t="s">
        <v>103</v>
      </c>
      <c r="H96">
        <v>10</v>
      </c>
    </row>
    <row r="97" spans="4:8" ht="14.25">
      <c r="D97" s="165"/>
      <c r="E97" t="s">
        <v>104</v>
      </c>
      <c r="H97">
        <v>10</v>
      </c>
    </row>
    <row r="98" ht="14.25">
      <c r="D98" s="165"/>
    </row>
    <row r="99" spans="4:8" ht="14.25">
      <c r="D99" s="165" t="s">
        <v>105</v>
      </c>
      <c r="H99">
        <v>5</v>
      </c>
    </row>
    <row r="100" ht="14.25">
      <c r="D100" s="165"/>
    </row>
    <row r="101" spans="4:8" ht="14.25">
      <c r="D101" s="165" t="s">
        <v>106</v>
      </c>
      <c r="H101">
        <v>10</v>
      </c>
    </row>
    <row r="102" ht="14.25">
      <c r="D102" s="165"/>
    </row>
    <row r="103" spans="4:8" ht="14.25">
      <c r="D103" s="165" t="s">
        <v>107</v>
      </c>
      <c r="H103">
        <v>10</v>
      </c>
    </row>
    <row r="104" ht="14.25">
      <c r="D104" s="165"/>
    </row>
    <row r="105" ht="14.25">
      <c r="D105" s="165" t="s">
        <v>108</v>
      </c>
    </row>
    <row r="106" spans="4:8" ht="14.25">
      <c r="D106" s="165"/>
      <c r="E106" t="s">
        <v>109</v>
      </c>
      <c r="H106">
        <v>10</v>
      </c>
    </row>
    <row r="107" spans="4:8" ht="14.25">
      <c r="D107" s="165"/>
      <c r="E107" t="s">
        <v>110</v>
      </c>
      <c r="H107">
        <v>10</v>
      </c>
    </row>
    <row r="108" spans="4:8" ht="14.25">
      <c r="D108" s="165"/>
      <c r="E108" t="s">
        <v>111</v>
      </c>
      <c r="H108">
        <v>20</v>
      </c>
    </row>
    <row r="109" spans="4:8" ht="14.25">
      <c r="D109" s="165"/>
      <c r="E109" t="s">
        <v>112</v>
      </c>
      <c r="H109">
        <v>5</v>
      </c>
    </row>
    <row r="110" ht="14.25">
      <c r="D110" s="165"/>
    </row>
    <row r="111" ht="14.25">
      <c r="D111" s="165" t="s">
        <v>113</v>
      </c>
    </row>
    <row r="112" spans="4:8" ht="14.25">
      <c r="D112" s="165"/>
      <c r="E112" t="s">
        <v>103</v>
      </c>
      <c r="H112">
        <v>5</v>
      </c>
    </row>
    <row r="113" spans="4:8" ht="14.25">
      <c r="D113" s="165"/>
      <c r="E113" t="s">
        <v>104</v>
      </c>
      <c r="H113">
        <v>5</v>
      </c>
    </row>
    <row r="114" ht="14.25">
      <c r="D114" s="165"/>
    </row>
    <row r="115" ht="14.25">
      <c r="D115" s="165" t="s">
        <v>114</v>
      </c>
    </row>
    <row r="116" spans="4:8" ht="14.25">
      <c r="D116" s="165"/>
      <c r="E116" t="s">
        <v>115</v>
      </c>
      <c r="H116">
        <v>10</v>
      </c>
    </row>
    <row r="117" spans="4:8" ht="14.25">
      <c r="D117" s="165"/>
      <c r="E117" t="s">
        <v>116</v>
      </c>
      <c r="H117">
        <v>10</v>
      </c>
    </row>
    <row r="118" spans="4:8" ht="14.25">
      <c r="D118" s="165"/>
      <c r="E118" t="s">
        <v>117</v>
      </c>
      <c r="H118">
        <v>10</v>
      </c>
    </row>
    <row r="119" ht="14.25">
      <c r="D119" s="165"/>
    </row>
    <row r="120" spans="4:8" ht="14.25">
      <c r="D120" s="165" t="s">
        <v>118</v>
      </c>
      <c r="H120">
        <v>10</v>
      </c>
    </row>
    <row r="121" ht="14.25">
      <c r="D121" s="165"/>
    </row>
    <row r="122" ht="14.25">
      <c r="D122" s="165" t="s">
        <v>119</v>
      </c>
    </row>
    <row r="123" spans="4:8" ht="14.25">
      <c r="D123" s="165"/>
      <c r="E123" t="s">
        <v>120</v>
      </c>
      <c r="H123">
        <v>10</v>
      </c>
    </row>
    <row r="124" ht="14.25">
      <c r="D124" s="165"/>
    </row>
    <row r="125" spans="4:8" ht="14.25">
      <c r="D125" s="165" t="s">
        <v>121</v>
      </c>
      <c r="H125">
        <v>10</v>
      </c>
    </row>
    <row r="126" ht="14.25">
      <c r="D126" s="165"/>
    </row>
    <row r="127" ht="14.25">
      <c r="D127" s="165" t="s">
        <v>122</v>
      </c>
    </row>
    <row r="128" spans="4:8" ht="14.25">
      <c r="D128" s="165"/>
      <c r="E128" t="s">
        <v>123</v>
      </c>
      <c r="H128">
        <v>10</v>
      </c>
    </row>
    <row r="129" spans="4:8" ht="14.25">
      <c r="D129" s="165"/>
      <c r="E129" t="s">
        <v>124</v>
      </c>
      <c r="H129">
        <v>10</v>
      </c>
    </row>
    <row r="130" spans="4:8" ht="14.25">
      <c r="D130" s="165"/>
      <c r="E130" t="s">
        <v>78</v>
      </c>
      <c r="H130">
        <v>10</v>
      </c>
    </row>
    <row r="131" spans="4:8" ht="14.25">
      <c r="D131" s="165"/>
      <c r="E131" t="s">
        <v>125</v>
      </c>
      <c r="H131">
        <v>10</v>
      </c>
    </row>
    <row r="132" ht="14.25">
      <c r="D132" s="165"/>
    </row>
    <row r="133" ht="14.25">
      <c r="D133" s="165" t="s">
        <v>126</v>
      </c>
    </row>
    <row r="134" spans="4:8" ht="14.25">
      <c r="D134" s="165"/>
      <c r="E134" t="s">
        <v>127</v>
      </c>
      <c r="H134">
        <v>10</v>
      </c>
    </row>
    <row r="135" spans="4:8" ht="14.25">
      <c r="D135" s="165"/>
      <c r="E135" t="s">
        <v>128</v>
      </c>
      <c r="H135">
        <v>10</v>
      </c>
    </row>
    <row r="136" spans="4:8" ht="14.25">
      <c r="D136" s="165"/>
      <c r="E136" t="s">
        <v>129</v>
      </c>
      <c r="H136">
        <v>10</v>
      </c>
    </row>
    <row r="137" spans="4:8" ht="14.25">
      <c r="D137" s="165"/>
      <c r="E137" t="s">
        <v>130</v>
      </c>
      <c r="H137">
        <v>10</v>
      </c>
    </row>
    <row r="138" ht="14.25">
      <c r="D138" s="165"/>
    </row>
    <row r="139" spans="4:8" ht="14.25">
      <c r="D139" s="165" t="s">
        <v>131</v>
      </c>
      <c r="H139">
        <v>10</v>
      </c>
    </row>
    <row r="140" ht="14.25">
      <c r="D140" s="165"/>
    </row>
    <row r="141" spans="4:8" ht="14.25">
      <c r="D141" s="165" t="s">
        <v>132</v>
      </c>
      <c r="H141">
        <v>10</v>
      </c>
    </row>
    <row r="142" ht="14.25">
      <c r="D142" s="165"/>
    </row>
    <row r="143" spans="4:8" ht="14.25">
      <c r="D143" s="165" t="s">
        <v>133</v>
      </c>
      <c r="H143">
        <v>10</v>
      </c>
    </row>
    <row r="144" ht="14.25">
      <c r="D144" s="165"/>
    </row>
    <row r="145" spans="4:8" ht="14.25">
      <c r="D145" s="165" t="s">
        <v>134</v>
      </c>
      <c r="H145">
        <v>5</v>
      </c>
    </row>
    <row r="146" ht="14.25">
      <c r="D146" s="165"/>
    </row>
    <row r="147" spans="4:8" ht="14.25">
      <c r="D147" s="165" t="s">
        <v>135</v>
      </c>
      <c r="H147">
        <v>5</v>
      </c>
    </row>
    <row r="148" spans="4:8" ht="14.25">
      <c r="D148" s="165"/>
      <c r="E148" t="s">
        <v>136</v>
      </c>
      <c r="H148">
        <v>5</v>
      </c>
    </row>
    <row r="149" spans="4:8" ht="14.25">
      <c r="D149" s="165"/>
      <c r="E149" t="s">
        <v>137</v>
      </c>
      <c r="H149">
        <v>5</v>
      </c>
    </row>
    <row r="150" spans="4:8" ht="14.25">
      <c r="D150" s="165"/>
      <c r="E150" t="s">
        <v>138</v>
      </c>
      <c r="H150">
        <v>5</v>
      </c>
    </row>
    <row r="151" spans="4:8" ht="14.25">
      <c r="D151" s="165"/>
      <c r="E151" t="s">
        <v>139</v>
      </c>
      <c r="H151">
        <v>5</v>
      </c>
    </row>
    <row r="152" spans="4:8" ht="14.25">
      <c r="D152" s="165"/>
      <c r="E152" t="s">
        <v>140</v>
      </c>
      <c r="H152">
        <v>5</v>
      </c>
    </row>
    <row r="153" spans="4:8" ht="14.25">
      <c r="D153" s="165"/>
      <c r="E153" t="s">
        <v>141</v>
      </c>
      <c r="H153">
        <v>5</v>
      </c>
    </row>
    <row r="154" ht="14.25">
      <c r="D154" s="165"/>
    </row>
    <row r="155" ht="14.25">
      <c r="D155" s="165"/>
    </row>
    <row r="156" ht="14.25">
      <c r="D156" s="165"/>
    </row>
    <row r="157" ht="14.25">
      <c r="D157" s="165"/>
    </row>
    <row r="158" ht="14.25">
      <c r="D158" s="165"/>
    </row>
    <row r="159" ht="14.25">
      <c r="D159" s="165"/>
    </row>
    <row r="160" ht="14.25">
      <c r="D160" s="165"/>
    </row>
    <row r="161" ht="14.25">
      <c r="D161" s="165"/>
    </row>
    <row r="162" ht="14.25">
      <c r="D162" s="165"/>
    </row>
    <row r="163" ht="14.25">
      <c r="D163" s="165"/>
    </row>
    <row r="164" ht="14.25">
      <c r="D164" s="165"/>
    </row>
    <row r="165" ht="14.25">
      <c r="D165" s="165"/>
    </row>
    <row r="166" ht="14.25">
      <c r="D166" s="165"/>
    </row>
    <row r="167" ht="14.25">
      <c r="D167" s="165"/>
    </row>
    <row r="168" ht="14.25">
      <c r="D168" s="165"/>
    </row>
    <row r="169" ht="14.25">
      <c r="D169" s="165"/>
    </row>
    <row r="170" ht="14.25">
      <c r="D170" s="165"/>
    </row>
    <row r="171" ht="14.25">
      <c r="D171" s="165"/>
    </row>
    <row r="172" ht="14.25">
      <c r="D172" s="165"/>
    </row>
    <row r="173" ht="14.25">
      <c r="D173" s="165"/>
    </row>
    <row r="174" ht="14.25">
      <c r="D174" s="165"/>
    </row>
    <row r="175" ht="14.25">
      <c r="D175" s="165"/>
    </row>
    <row r="176" ht="14.25">
      <c r="D176" s="165"/>
    </row>
    <row r="177" ht="14.25">
      <c r="D177" s="165"/>
    </row>
    <row r="178" ht="14.25">
      <c r="D178" s="165"/>
    </row>
    <row r="179" ht="14.25">
      <c r="D179" s="165"/>
    </row>
    <row r="180" ht="14.25">
      <c r="D180" s="165"/>
    </row>
  </sheetData>
  <sheetProtection password="DBFF" sheet="1" objects="1" scenarios="1"/>
  <mergeCells count="1">
    <mergeCell ref="F2:J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Oakland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Cohen, Barbara</dc:creator>
  <cp:keywords/>
  <dc:description/>
  <cp:lastModifiedBy>Rush, Esther K.</cp:lastModifiedBy>
  <cp:lastPrinted>2019-02-28T02:03:36Z</cp:lastPrinted>
  <dcterms:created xsi:type="dcterms:W3CDTF">2014-07-09T18:09:24Z</dcterms:created>
  <dcterms:modified xsi:type="dcterms:W3CDTF">2019-04-24T15:57:19Z</dcterms:modified>
  <cp:category/>
  <cp:version/>
  <cp:contentType/>
  <cp:contentStatus/>
</cp:coreProperties>
</file>